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19425" windowHeight="10560" firstSheet="9" activeTab="1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7.Facility 6 Cattle Feed" sheetId="84" r:id="rId15"/>
    <sheet name="16.Facility 5 Atta Chakki" sheetId="53" r:id="rId16"/>
    <sheet name="14. Facility 3 Warehouse" sheetId="42" r:id="rId17"/>
    <sheet name="15. Facility 4 Custom Hiring" sheetId="48" r:id="rId18"/>
    <sheet name="Sheet1" sheetId="85" r:id="rId19"/>
  </sheets>
  <externalReferences>
    <externalReference r:id="rId20"/>
    <externalReference r:id="rId21"/>
  </externalReference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Processing'!$A$3:$J$185</definedName>
    <definedName name="_xlnm.Print_Area" localSheetId="16">'14. Facility 3 Warehouse'!$A$1:$K$51</definedName>
    <definedName name="_xlnm.Print_Area" localSheetId="17">'15. Facility 4 Custom Hiring'!$A$1:$U$62</definedName>
    <definedName name="_xlnm.Print_Area" localSheetId="15">'16.Facility 5 Atta Chakki'!$A$1:$J$171</definedName>
    <definedName name="_xlnm.Print_Area" localSheetId="14">'17.Facility 6 Cattle Feed'!$A$1:$J$113</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'!$A$1:$J$37</definedName>
    <definedName name="_xlnm.Print_Area" localSheetId="9">'9. Financial indiacators'!$B$1:$M$183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 i="85" l="1"/>
  <c r="L15" i="85"/>
  <c r="L16" i="85"/>
  <c r="L17" i="85"/>
  <c r="L18" i="85"/>
  <c r="L19" i="85"/>
  <c r="L13" i="85"/>
  <c r="H85" i="57" l="1"/>
  <c r="J76" i="57"/>
  <c r="J77" i="57"/>
  <c r="J78" i="57"/>
  <c r="J79" i="57"/>
  <c r="J80" i="57"/>
  <c r="J81" i="57"/>
  <c r="J82" i="57"/>
  <c r="J75" i="57"/>
  <c r="J62" i="57"/>
  <c r="J63" i="57"/>
  <c r="J64" i="57"/>
  <c r="J65" i="57"/>
  <c r="J61" i="57"/>
  <c r="G9" i="57"/>
  <c r="G43" i="42"/>
  <c r="H43" i="42"/>
  <c r="I43" i="42"/>
  <c r="J43" i="42"/>
  <c r="F43" i="42"/>
  <c r="F17" i="42"/>
  <c r="G17" i="42" s="1"/>
  <c r="H17" i="42" s="1"/>
  <c r="I17" i="42" s="1"/>
  <c r="J17" i="42" s="1"/>
  <c r="E17" i="42"/>
  <c r="E38" i="42" s="1"/>
  <c r="D9" i="42"/>
  <c r="E9" i="42"/>
  <c r="F9" i="42"/>
  <c r="G9" i="42"/>
  <c r="H9" i="42" s="1"/>
  <c r="C9" i="42"/>
  <c r="D49" i="42"/>
  <c r="E49" i="61"/>
  <c r="F37" i="61"/>
  <c r="G37" i="61"/>
  <c r="H37" i="61"/>
  <c r="I37" i="61"/>
  <c r="J37" i="61"/>
  <c r="K37" i="61"/>
  <c r="E36" i="61"/>
  <c r="E37" i="61"/>
  <c r="C35" i="61"/>
  <c r="C36" i="61"/>
  <c r="C37" i="61"/>
  <c r="C38" i="61"/>
  <c r="C39" i="61"/>
  <c r="C34" i="61"/>
  <c r="F53" i="48"/>
  <c r="G53" i="48"/>
  <c r="H53" i="48"/>
  <c r="I53" i="48"/>
  <c r="J53" i="48"/>
  <c r="K53" i="48"/>
  <c r="E53" i="48"/>
  <c r="E52" i="48"/>
  <c r="I45" i="48"/>
  <c r="D45" i="48"/>
  <c r="C45" i="48"/>
  <c r="F45" i="48" s="1"/>
  <c r="C44" i="48"/>
  <c r="C43" i="48"/>
  <c r="E39" i="48"/>
  <c r="C34" i="48"/>
  <c r="A33" i="48"/>
  <c r="A34" i="48"/>
  <c r="A35" i="48"/>
  <c r="H13" i="48"/>
  <c r="J13" i="48" s="1"/>
  <c r="M13" i="48"/>
  <c r="M14" i="48"/>
  <c r="D38" i="42"/>
  <c r="D37" i="42"/>
  <c r="B29" i="42"/>
  <c r="E29" i="42" s="1"/>
  <c r="D29" i="42"/>
  <c r="A134" i="53"/>
  <c r="A133" i="53"/>
  <c r="A132" i="53"/>
  <c r="D34" i="53"/>
  <c r="E34" i="53"/>
  <c r="F34" i="53"/>
  <c r="G34" i="53"/>
  <c r="H34" i="53"/>
  <c r="I34" i="53"/>
  <c r="D35" i="53"/>
  <c r="E35" i="53"/>
  <c r="F35" i="53"/>
  <c r="G35" i="53"/>
  <c r="H35" i="53"/>
  <c r="I35" i="53"/>
  <c r="C34" i="53"/>
  <c r="C35" i="53"/>
  <c r="A2" i="53"/>
  <c r="C84" i="84"/>
  <c r="G78" i="57"/>
  <c r="F71" i="57"/>
  <c r="G72" i="57"/>
  <c r="A14" i="84"/>
  <c r="A15" i="84"/>
  <c r="A16" i="84"/>
  <c r="A17" i="84"/>
  <c r="A18" i="84"/>
  <c r="A19" i="84"/>
  <c r="A13" i="84"/>
  <c r="A3" i="84"/>
  <c r="C153" i="72"/>
  <c r="C152" i="72"/>
  <c r="C62" i="55"/>
  <c r="D62" i="55" s="1"/>
  <c r="E62" i="55" s="1"/>
  <c r="F62" i="55" s="1"/>
  <c r="G62" i="55" s="1"/>
  <c r="H62" i="55" s="1"/>
  <c r="B159" i="72"/>
  <c r="F108" i="57"/>
  <c r="F55" i="57"/>
  <c r="G55" i="57" s="1"/>
  <c r="G60" i="57"/>
  <c r="G61" i="57"/>
  <c r="G62" i="57"/>
  <c r="G63" i="57"/>
  <c r="G64" i="57"/>
  <c r="G65" i="57"/>
  <c r="F37" i="57"/>
  <c r="G37" i="57" s="1"/>
  <c r="H34" i="57"/>
  <c r="B283" i="55" s="1"/>
  <c r="G25" i="57"/>
  <c r="G26" i="57"/>
  <c r="G27" i="57"/>
  <c r="G28" i="57"/>
  <c r="G29" i="57"/>
  <c r="G30" i="57"/>
  <c r="G31" i="57"/>
  <c r="F32" i="57"/>
  <c r="G32" i="57" s="1"/>
  <c r="G24" i="57"/>
  <c r="B3" i="22"/>
  <c r="G75" i="57"/>
  <c r="G76" i="57"/>
  <c r="G77" i="57"/>
  <c r="G71" i="57"/>
  <c r="G68" i="57"/>
  <c r="G79" i="57"/>
  <c r="G80" i="57"/>
  <c r="G81" i="57"/>
  <c r="G51" i="57"/>
  <c r="G52" i="57"/>
  <c r="G53" i="57"/>
  <c r="G54" i="57"/>
  <c r="G56" i="57"/>
  <c r="G50" i="57"/>
  <c r="G41" i="57"/>
  <c r="G42" i="57"/>
  <c r="G43" i="57"/>
  <c r="G44" i="57"/>
  <c r="G45" i="57"/>
  <c r="E45" i="48" l="1"/>
  <c r="H45" i="48"/>
  <c r="K45" i="48"/>
  <c r="G45" i="48"/>
  <c r="J45" i="48"/>
  <c r="G66" i="57"/>
  <c r="G83" i="57"/>
  <c r="F57" i="57"/>
  <c r="G57" i="57" s="1"/>
  <c r="F33" i="57"/>
  <c r="G33" i="57" s="1"/>
  <c r="G34" i="57" s="1"/>
  <c r="B7" i="81"/>
  <c r="B9" i="81" s="1"/>
  <c r="C23" i="81" s="1"/>
  <c r="E22" i="22"/>
  <c r="E21" i="22"/>
  <c r="E20" i="22"/>
  <c r="E19" i="22"/>
  <c r="E18" i="22"/>
  <c r="E16" i="22"/>
  <c r="B9" i="68"/>
  <c r="O11" i="61"/>
  <c r="P11" i="61" s="1"/>
  <c r="Q11" i="61" s="1"/>
  <c r="R11" i="61" s="1"/>
  <c r="G8" i="57"/>
  <c r="G18" i="57"/>
  <c r="G19" i="57"/>
  <c r="G20" i="57"/>
  <c r="G21" i="57"/>
  <c r="G40" i="57"/>
  <c r="F46" i="57" s="1"/>
  <c r="G46" i="57" s="1"/>
  <c r="F95" i="57"/>
  <c r="F96" i="57"/>
  <c r="F97" i="57"/>
  <c r="F98" i="57"/>
  <c r="F99" i="57"/>
  <c r="F109" i="57"/>
  <c r="F110" i="57"/>
  <c r="F111" i="57"/>
  <c r="F112" i="57"/>
  <c r="F113" i="57"/>
  <c r="F122" i="57"/>
  <c r="F123" i="57"/>
  <c r="F124" i="57"/>
  <c r="D137" i="57"/>
  <c r="D10" i="62" s="1"/>
  <c r="D86" i="22" s="1"/>
  <c r="D87" i="22" s="1"/>
  <c r="B34" i="72"/>
  <c r="H47" i="57"/>
  <c r="B87" i="84" s="1"/>
  <c r="B32" i="55"/>
  <c r="B63" i="55"/>
  <c r="B7" i="83"/>
  <c r="B9" i="83" s="1"/>
  <c r="D255" i="55"/>
  <c r="D279" i="55"/>
  <c r="D280" i="55"/>
  <c r="H58" i="57"/>
  <c r="B30" i="84"/>
  <c r="B113" i="81"/>
  <c r="C87" i="53" s="1"/>
  <c r="C88" i="53"/>
  <c r="B162" i="55"/>
  <c r="D221" i="55" s="1"/>
  <c r="B163" i="55"/>
  <c r="D222" i="55" s="1"/>
  <c r="B164" i="55"/>
  <c r="D223" i="55" s="1"/>
  <c r="C141" i="72"/>
  <c r="C142" i="72"/>
  <c r="B10" i="42"/>
  <c r="D21" i="42" s="1"/>
  <c r="D23" i="42" s="1"/>
  <c r="F8" i="48"/>
  <c r="H8" i="48" s="1"/>
  <c r="D28" i="48"/>
  <c r="F9" i="48"/>
  <c r="H9" i="48" s="1"/>
  <c r="J9" i="48" s="1"/>
  <c r="D29" i="48"/>
  <c r="F10" i="48"/>
  <c r="H10" i="48" s="1"/>
  <c r="C30" i="48" s="1"/>
  <c r="D30" i="48"/>
  <c r="F11" i="48"/>
  <c r="H11" i="48" s="1"/>
  <c r="D31" i="48"/>
  <c r="F12" i="48"/>
  <c r="H12" i="48" s="1"/>
  <c r="J12" i="48" s="1"/>
  <c r="D32" i="48"/>
  <c r="C33" i="48"/>
  <c r="D33" i="48"/>
  <c r="D34" i="48"/>
  <c r="F34" i="48" s="1"/>
  <c r="C35" i="48"/>
  <c r="D35" i="48"/>
  <c r="C36" i="48"/>
  <c r="D36" i="48"/>
  <c r="C37" i="48"/>
  <c r="D37" i="48"/>
  <c r="C38" i="48"/>
  <c r="D38" i="48"/>
  <c r="D27" i="42"/>
  <c r="D28" i="42"/>
  <c r="J15" i="48"/>
  <c r="J16" i="48"/>
  <c r="J17" i="48"/>
  <c r="M8" i="48"/>
  <c r="M9" i="48"/>
  <c r="M10" i="48"/>
  <c r="M11" i="48"/>
  <c r="M12" i="48"/>
  <c r="M15" i="48"/>
  <c r="M16" i="48"/>
  <c r="M17" i="48"/>
  <c r="E8" i="22"/>
  <c r="E9" i="22"/>
  <c r="E10" i="22"/>
  <c r="E11" i="22"/>
  <c r="E12" i="22"/>
  <c r="E13" i="22"/>
  <c r="E14" i="22"/>
  <c r="E15" i="22"/>
  <c r="D294" i="55"/>
  <c r="D301" i="55" s="1"/>
  <c r="B28" i="21" s="1"/>
  <c r="D173" i="72"/>
  <c r="D178" i="72" s="1"/>
  <c r="B29" i="21" s="1"/>
  <c r="D43" i="42"/>
  <c r="B30" i="21" s="1"/>
  <c r="E56" i="48"/>
  <c r="B31" i="21" s="1"/>
  <c r="D101" i="84"/>
  <c r="D102" i="84"/>
  <c r="D156" i="53"/>
  <c r="D157" i="53"/>
  <c r="D158" i="53"/>
  <c r="D159" i="53"/>
  <c r="C10" i="62"/>
  <c r="C9" i="62"/>
  <c r="C8" i="62"/>
  <c r="C7" i="62"/>
  <c r="C6" i="62"/>
  <c r="C5" i="62"/>
  <c r="C40" i="81"/>
  <c r="D40" i="81" s="1"/>
  <c r="E40" i="81" s="1"/>
  <c r="F40" i="81" s="1"/>
  <c r="G40" i="81" s="1"/>
  <c r="H40" i="81" s="1"/>
  <c r="H63" i="55"/>
  <c r="E172" i="55"/>
  <c r="E279" i="55" s="1"/>
  <c r="H32" i="55"/>
  <c r="H89" i="55" s="1"/>
  <c r="C44" i="83"/>
  <c r="D44" i="83" s="1"/>
  <c r="G63" i="55"/>
  <c r="G32" i="55"/>
  <c r="F63" i="55"/>
  <c r="F32" i="55"/>
  <c r="E63" i="55"/>
  <c r="E32" i="55"/>
  <c r="E89" i="55"/>
  <c r="D63" i="55"/>
  <c r="D32" i="55"/>
  <c r="C63" i="55"/>
  <c r="C32" i="55"/>
  <c r="C89" i="55" s="1"/>
  <c r="E254" i="55" s="1"/>
  <c r="E255" i="55"/>
  <c r="C72" i="83"/>
  <c r="E70" i="84"/>
  <c r="F70" i="84" s="1"/>
  <c r="G70" i="84" s="1"/>
  <c r="H70" i="84" s="1"/>
  <c r="I70" i="84" s="1"/>
  <c r="J70" i="84" s="1"/>
  <c r="J102" i="84" s="1"/>
  <c r="K12" i="83"/>
  <c r="L12" i="83" s="1"/>
  <c r="C74" i="83"/>
  <c r="C65" i="81"/>
  <c r="C33" i="72"/>
  <c r="D33" i="72" s="1"/>
  <c r="E33" i="72" s="1"/>
  <c r="E34" i="72" s="1"/>
  <c r="E133" i="72"/>
  <c r="F133" i="72" s="1"/>
  <c r="G133" i="72" s="1"/>
  <c r="H133" i="72" s="1"/>
  <c r="F4" i="22"/>
  <c r="F15" i="22"/>
  <c r="F13" i="22"/>
  <c r="F11" i="22"/>
  <c r="F8" i="22"/>
  <c r="E128" i="53"/>
  <c r="I88" i="53"/>
  <c r="C100" i="83"/>
  <c r="H88" i="53"/>
  <c r="G88" i="53"/>
  <c r="F88" i="53"/>
  <c r="E88" i="53"/>
  <c r="D88" i="53"/>
  <c r="F23" i="48"/>
  <c r="G23" i="48" s="1"/>
  <c r="E27" i="42"/>
  <c r="F29" i="42"/>
  <c r="C162" i="55"/>
  <c r="C163" i="55"/>
  <c r="E222" i="55" s="1"/>
  <c r="C164" i="55"/>
  <c r="F35" i="48"/>
  <c r="C10" i="42"/>
  <c r="E21" i="42" s="1"/>
  <c r="E23" i="42" s="1"/>
  <c r="D162" i="55"/>
  <c r="D163" i="55"/>
  <c r="D164" i="55"/>
  <c r="D10" i="42"/>
  <c r="F21" i="42" s="1"/>
  <c r="F23" i="42" s="1"/>
  <c r="E162" i="55"/>
  <c r="E163" i="55"/>
  <c r="E164" i="55"/>
  <c r="F162" i="55"/>
  <c r="F163" i="55"/>
  <c r="F164" i="55"/>
  <c r="G162" i="55"/>
  <c r="G163" i="55"/>
  <c r="G164" i="55"/>
  <c r="H162" i="55"/>
  <c r="H163" i="55"/>
  <c r="H164" i="55"/>
  <c r="A42" i="81"/>
  <c r="A67" i="81" s="1"/>
  <c r="A13" i="72" s="1"/>
  <c r="A37" i="72" s="1"/>
  <c r="A58" i="72" s="1"/>
  <c r="A67" i="83"/>
  <c r="A95" i="83" s="1"/>
  <c r="A66" i="83"/>
  <c r="A65" i="83"/>
  <c r="A93" i="83" s="1"/>
  <c r="A64" i="83"/>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N9" i="61"/>
  <c r="R8" i="61"/>
  <c r="Q8" i="61"/>
  <c r="P8" i="61"/>
  <c r="O8" i="61"/>
  <c r="C15" i="61"/>
  <c r="C16" i="61"/>
  <c r="I173" i="29"/>
  <c r="H173" i="29"/>
  <c r="G173" i="29"/>
  <c r="F173" i="29"/>
  <c r="E173" i="29"/>
  <c r="D173" i="29"/>
  <c r="C173" i="29"/>
  <c r="B128" i="29"/>
  <c r="B143" i="29" s="1"/>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24" i="29"/>
  <c r="B139" i="29" s="1"/>
  <c r="B154" i="29" s="1"/>
  <c r="B169" i="29" s="1"/>
  <c r="B123" i="29"/>
  <c r="B138" i="29" s="1"/>
  <c r="B153" i="29" s="1"/>
  <c r="B168" i="29" s="1"/>
  <c r="B122" i="29"/>
  <c r="B137" i="29" s="1"/>
  <c r="B152" i="29" s="1"/>
  <c r="B167" i="29" s="1"/>
  <c r="B37" i="29"/>
  <c r="B36" i="29"/>
  <c r="B35" i="29"/>
  <c r="B34" i="29"/>
  <c r="B33" i="29"/>
  <c r="B32" i="29"/>
  <c r="C52" i="61"/>
  <c r="C51" i="61"/>
  <c r="C50" i="61"/>
  <c r="C49" i="61"/>
  <c r="C48" i="61"/>
  <c r="C47" i="61"/>
  <c r="A23" i="21"/>
  <c r="A33" i="21" s="1"/>
  <c r="A77" i="84"/>
  <c r="A70" i="83"/>
  <c r="A98" i="83" s="1"/>
  <c r="A126" i="83" s="1"/>
  <c r="A61" i="53" s="1"/>
  <c r="A114" i="53" s="1"/>
  <c r="A69" i="83"/>
  <c r="A97" i="83" s="1"/>
  <c r="A68" i="83"/>
  <c r="A63" i="83"/>
  <c r="A52" i="55" s="1"/>
  <c r="A109" i="55" s="1"/>
  <c r="A161" i="55" s="1"/>
  <c r="A220" i="55" s="1"/>
  <c r="A274" i="55" s="1"/>
  <c r="A91" i="83"/>
  <c r="A119" i="83" s="1"/>
  <c r="A54" i="53" s="1"/>
  <c r="A62" i="83"/>
  <c r="A90" i="83" s="1"/>
  <c r="A61" i="83"/>
  <c r="A89" i="83" s="1"/>
  <c r="A60" i="83"/>
  <c r="A59" i="83"/>
  <c r="A48" i="55" s="1"/>
  <c r="A105" i="55" s="1"/>
  <c r="A157" i="55" s="1"/>
  <c r="A216" i="55" s="1"/>
  <c r="A270" i="55" s="1"/>
  <c r="A58" i="83"/>
  <c r="A86" i="83" s="1"/>
  <c r="A57" i="83"/>
  <c r="A46" i="55" s="1"/>
  <c r="A103" i="55" s="1"/>
  <c r="A155" i="55" s="1"/>
  <c r="A214" i="55" s="1"/>
  <c r="A268" i="55" s="1"/>
  <c r="A56" i="83"/>
  <c r="A84" i="83" s="1"/>
  <c r="A112" i="83" s="1"/>
  <c r="A47" i="53" s="1"/>
  <c r="A100" i="53" s="1"/>
  <c r="A55" i="83"/>
  <c r="A83" i="83" s="1"/>
  <c r="A111" i="83" s="1"/>
  <c r="A46" i="53" s="1"/>
  <c r="A54" i="83"/>
  <c r="A82" i="83" s="1"/>
  <c r="A53" i="83"/>
  <c r="A81" i="83" s="1"/>
  <c r="A109" i="83" s="1"/>
  <c r="A44" i="53" s="1"/>
  <c r="A52" i="83"/>
  <c r="A80" i="83" s="1"/>
  <c r="A108" i="83"/>
  <c r="A43" i="53"/>
  <c r="A51" i="83"/>
  <c r="A79" i="83" s="1"/>
  <c r="A107" i="83" s="1"/>
  <c r="A42" i="53" s="1"/>
  <c r="A50" i="83"/>
  <c r="A78" i="83" s="1"/>
  <c r="A49" i="83"/>
  <c r="A77" i="83" s="1"/>
  <c r="A48" i="83"/>
  <c r="A37" i="55" s="1"/>
  <c r="A94" i="55" s="1"/>
  <c r="A146" i="55" s="1"/>
  <c r="A205" i="55" s="1"/>
  <c r="A259" i="55" s="1"/>
  <c r="A47" i="83"/>
  <c r="A75" i="83"/>
  <c r="A103" i="83" s="1"/>
  <c r="A38" i="53" s="1"/>
  <c r="A46" i="83"/>
  <c r="A74" i="83"/>
  <c r="A102" i="83" s="1"/>
  <c r="A37" i="53" s="1"/>
  <c r="A36" i="53"/>
  <c r="A35" i="53"/>
  <c r="A62" i="81"/>
  <c r="A61" i="81"/>
  <c r="A60" i="81"/>
  <c r="A43" i="81"/>
  <c r="A34" i="55"/>
  <c r="A91" i="55" s="1"/>
  <c r="A143" i="55" s="1"/>
  <c r="A202" i="55" s="1"/>
  <c r="A256" i="55" s="1"/>
  <c r="A35" i="55"/>
  <c r="A92" i="55" s="1"/>
  <c r="A144" i="55" s="1"/>
  <c r="A203" i="55" s="1"/>
  <c r="A257" i="55" s="1"/>
  <c r="A36" i="55"/>
  <c r="A93" i="55" s="1"/>
  <c r="A145" i="55" s="1"/>
  <c r="A204" i="55" s="1"/>
  <c r="A258" i="55" s="1"/>
  <c r="A40" i="55"/>
  <c r="A97" i="55" s="1"/>
  <c r="A149" i="55" s="1"/>
  <c r="A208" i="55" s="1"/>
  <c r="A262" i="55" s="1"/>
  <c r="A41" i="55"/>
  <c r="A98" i="55" s="1"/>
  <c r="A150" i="55" s="1"/>
  <c r="A209" i="55" s="1"/>
  <c r="A263" i="55" s="1"/>
  <c r="A47" i="55"/>
  <c r="A104" i="55" s="1"/>
  <c r="A156" i="55" s="1"/>
  <c r="A215" i="55" s="1"/>
  <c r="A269" i="55" s="1"/>
  <c r="A50" i="55"/>
  <c r="A107" i="55" s="1"/>
  <c r="A159" i="55" s="1"/>
  <c r="A218" i="55" s="1"/>
  <c r="A272" i="55" s="1"/>
  <c r="A59" i="55"/>
  <c r="A116" i="55" s="1"/>
  <c r="A168" i="55" s="1"/>
  <c r="A227" i="55" s="1"/>
  <c r="A278" i="55" s="1"/>
  <c r="A279" i="55"/>
  <c r="A280" i="55"/>
  <c r="A255" i="55"/>
  <c r="A254" i="55"/>
  <c r="A59" i="81"/>
  <c r="A28" i="55" s="1"/>
  <c r="A85" i="55" s="1"/>
  <c r="A137" i="55" s="1"/>
  <c r="A195" i="55" s="1"/>
  <c r="A250" i="55" s="1"/>
  <c r="A43" i="84"/>
  <c r="A56" i="84" s="1"/>
  <c r="C29" i="84"/>
  <c r="D29" i="84" s="1"/>
  <c r="E294" i="55"/>
  <c r="E301" i="55" s="1"/>
  <c r="C28" i="21" s="1"/>
  <c r="E156" i="53"/>
  <c r="E37" i="42"/>
  <c r="E43" i="42" s="1"/>
  <c r="F52" i="48"/>
  <c r="F56" i="48" s="1"/>
  <c r="C31" i="21" s="1"/>
  <c r="G52" i="48"/>
  <c r="G56" i="48" s="1"/>
  <c r="D31" i="21" s="1"/>
  <c r="G43" i="21"/>
  <c r="I12" i="29" s="1"/>
  <c r="H43" i="21"/>
  <c r="H87" i="22"/>
  <c r="I87" i="22"/>
  <c r="A61" i="22"/>
  <c r="A62" i="22"/>
  <c r="A63" i="22"/>
  <c r="A64" i="22"/>
  <c r="B140" i="29"/>
  <c r="B155" i="29" s="1"/>
  <c r="B170" i="29" s="1"/>
  <c r="H22" i="57"/>
  <c r="C65" i="29"/>
  <c r="D65" i="29" s="1"/>
  <c r="E65" i="29" s="1"/>
  <c r="F65" i="29" s="1"/>
  <c r="G65" i="29" s="1"/>
  <c r="H65" i="29" s="1"/>
  <c r="I65" i="29" s="1"/>
  <c r="V12" i="83"/>
  <c r="W12" i="83" s="1"/>
  <c r="X12" i="83" s="1"/>
  <c r="P12" i="83"/>
  <c r="Q12" i="83" s="1"/>
  <c r="R12" i="83" s="1"/>
  <c r="S12" i="83" s="1"/>
  <c r="T12" i="83"/>
  <c r="K12" i="81"/>
  <c r="L12" i="81" s="1"/>
  <c r="A44" i="81"/>
  <c r="F13" i="48"/>
  <c r="F14" i="48"/>
  <c r="F15" i="48"/>
  <c r="F16" i="48"/>
  <c r="F17" i="48"/>
  <c r="A30" i="53"/>
  <c r="A58" i="81"/>
  <c r="A83" i="81" s="1"/>
  <c r="A57" i="81"/>
  <c r="A26" i="55" s="1"/>
  <c r="A83" i="55" s="1"/>
  <c r="A135" i="55" s="1"/>
  <c r="A193" i="55" s="1"/>
  <c r="A248" i="55" s="1"/>
  <c r="A56" i="81"/>
  <c r="A55" i="81"/>
  <c r="A54" i="81"/>
  <c r="A79" i="81" s="1"/>
  <c r="A104" i="81" s="1"/>
  <c r="A25" i="53" s="1"/>
  <c r="A53" i="81"/>
  <c r="A52" i="81"/>
  <c r="A77" i="81" s="1"/>
  <c r="A51" i="81"/>
  <c r="A76" i="81" s="1"/>
  <c r="A101" i="81" s="1"/>
  <c r="A22" i="53" s="1"/>
  <c r="A49" i="81"/>
  <c r="A18" i="55" s="1"/>
  <c r="A75" i="55" s="1"/>
  <c r="A127" i="55" s="1"/>
  <c r="A185" i="55" s="1"/>
  <c r="A240" i="55" s="1"/>
  <c r="A74" i="81"/>
  <c r="A48" i="81"/>
  <c r="A73" i="81" s="1"/>
  <c r="A47" i="81"/>
  <c r="A16" i="55" s="1"/>
  <c r="A73" i="55" s="1"/>
  <c r="A125" i="55" s="1"/>
  <c r="A183" i="55" s="1"/>
  <c r="A238" i="55" s="1"/>
  <c r="A46" i="81"/>
  <c r="A15" i="55" s="1"/>
  <c r="A72" i="55" s="1"/>
  <c r="A124" i="55" s="1"/>
  <c r="A182" i="55" s="1"/>
  <c r="A237" i="55" s="1"/>
  <c r="A45" i="81"/>
  <c r="A70" i="81" s="1"/>
  <c r="A74" i="53"/>
  <c r="A50" i="81"/>
  <c r="A75" i="81" s="1"/>
  <c r="A121" i="72"/>
  <c r="A27" i="55"/>
  <c r="A84" i="55" s="1"/>
  <c r="A136" i="55" s="1"/>
  <c r="A194" i="55" s="1"/>
  <c r="A249" i="55" s="1"/>
  <c r="A21" i="55"/>
  <c r="A78" i="55" s="1"/>
  <c r="A130" i="55" s="1"/>
  <c r="A188" i="55" s="1"/>
  <c r="A243" i="55" s="1"/>
  <c r="A20" i="55"/>
  <c r="A77" i="55" s="1"/>
  <c r="A129" i="55" s="1"/>
  <c r="A187" i="55" s="1"/>
  <c r="A242" i="55" s="1"/>
  <c r="A11" i="55"/>
  <c r="A68" i="55" s="1"/>
  <c r="A120" i="55" s="1"/>
  <c r="A178" i="55" s="1"/>
  <c r="A233" i="55" s="1"/>
  <c r="A32" i="55"/>
  <c r="A89" i="55" s="1"/>
  <c r="A141" i="55" s="1"/>
  <c r="V12" i="81"/>
  <c r="W12" i="81" s="1"/>
  <c r="X12" i="81" s="1"/>
  <c r="P12" i="81"/>
  <c r="Q12" i="81"/>
  <c r="R12" i="81" s="1"/>
  <c r="S12" i="81" s="1"/>
  <c r="T12" i="81" s="1"/>
  <c r="A32" i="48"/>
  <c r="A31" i="48"/>
  <c r="A30" i="48"/>
  <c r="A29" i="48"/>
  <c r="A28" i="48"/>
  <c r="L15" i="62"/>
  <c r="L17" i="62" s="1"/>
  <c r="I97" i="29"/>
  <c r="B98" i="29"/>
  <c r="B97" i="29"/>
  <c r="B96" i="29"/>
  <c r="B95" i="29"/>
  <c r="A20" i="21"/>
  <c r="A30" i="21" s="1"/>
  <c r="A19" i="21"/>
  <c r="A29" i="21" s="1"/>
  <c r="A18" i="21"/>
  <c r="A28" i="21" s="1"/>
  <c r="A21" i="21"/>
  <c r="A31" i="21" s="1"/>
  <c r="A22" i="21"/>
  <c r="A32" i="21" s="1"/>
  <c r="K145" i="72"/>
  <c r="H28" i="69"/>
  <c r="B17" i="68"/>
  <c r="B16" i="68"/>
  <c r="V11" i="61" l="1"/>
  <c r="B146" i="53"/>
  <c r="F28" i="42"/>
  <c r="F38" i="42"/>
  <c r="E101" i="84"/>
  <c r="G101" i="84"/>
  <c r="I101" i="84"/>
  <c r="D106" i="84"/>
  <c r="B33" i="21" s="1"/>
  <c r="G89" i="55"/>
  <c r="D89" i="55"/>
  <c r="F254" i="55" s="1"/>
  <c r="F89" i="55"/>
  <c r="A88" i="53"/>
  <c r="A17" i="55"/>
  <c r="A74" i="55" s="1"/>
  <c r="A126" i="55" s="1"/>
  <c r="A184" i="55" s="1"/>
  <c r="A239" i="55" s="1"/>
  <c r="A14" i="55"/>
  <c r="A71" i="55" s="1"/>
  <c r="A123" i="55" s="1"/>
  <c r="A181" i="55" s="1"/>
  <c r="A236" i="55" s="1"/>
  <c r="F102" i="84"/>
  <c r="E36" i="48"/>
  <c r="C32" i="48"/>
  <c r="G32" i="48" s="1"/>
  <c r="H61" i="29"/>
  <c r="A54" i="55"/>
  <c r="A111" i="55" s="1"/>
  <c r="A163" i="55" s="1"/>
  <c r="A222" i="55" s="1"/>
  <c r="F37" i="42"/>
  <c r="D30" i="21" s="1"/>
  <c r="A58" i="55"/>
  <c r="A115" i="55" s="1"/>
  <c r="A167" i="55" s="1"/>
  <c r="A226" i="55" s="1"/>
  <c r="A277" i="55" s="1"/>
  <c r="A43" i="55"/>
  <c r="A100" i="55" s="1"/>
  <c r="A152" i="55" s="1"/>
  <c r="A211" i="55" s="1"/>
  <c r="A265" i="55" s="1"/>
  <c r="A38" i="55"/>
  <c r="A95" i="55" s="1"/>
  <c r="A147" i="55" s="1"/>
  <c r="A206" i="55" s="1"/>
  <c r="A260" i="55" s="1"/>
  <c r="F101" i="84"/>
  <c r="H101" i="84"/>
  <c r="J101" i="84"/>
  <c r="C141" i="55"/>
  <c r="A84" i="81"/>
  <c r="A30" i="72" s="1"/>
  <c r="A54" i="72" s="1"/>
  <c r="A115" i="72" s="1"/>
  <c r="H102" i="84"/>
  <c r="A22" i="72"/>
  <c r="A46" i="72" s="1"/>
  <c r="A91" i="72" s="1"/>
  <c r="F173" i="72"/>
  <c r="F178" i="72" s="1"/>
  <c r="D29" i="21" s="1"/>
  <c r="E173" i="72"/>
  <c r="E178" i="72" s="1"/>
  <c r="C29" i="21" s="1"/>
  <c r="A51" i="55"/>
  <c r="A108" i="55" s="1"/>
  <c r="A160" i="55" s="1"/>
  <c r="A219" i="55" s="1"/>
  <c r="A273" i="55" s="1"/>
  <c r="A42" i="55"/>
  <c r="A99" i="55" s="1"/>
  <c r="A151" i="55" s="1"/>
  <c r="A210" i="55" s="1"/>
  <c r="A264" i="55" s="1"/>
  <c r="E102" i="84"/>
  <c r="G102" i="84"/>
  <c r="I102" i="84"/>
  <c r="E37" i="48"/>
  <c r="A40" i="84"/>
  <c r="A123" i="83"/>
  <c r="A58" i="53" s="1"/>
  <c r="A111" i="53" s="1"/>
  <c r="D39" i="83"/>
  <c r="D20" i="83"/>
  <c r="D14" i="83"/>
  <c r="D21" i="83"/>
  <c r="F21" i="83" s="1"/>
  <c r="H21" i="83" s="1"/>
  <c r="C32" i="83"/>
  <c r="D16" i="83"/>
  <c r="E29" i="84"/>
  <c r="E30" i="84" s="1"/>
  <c r="D30" i="84"/>
  <c r="A34" i="84"/>
  <c r="A76" i="84" s="1"/>
  <c r="A114" i="83"/>
  <c r="A49" i="53" s="1"/>
  <c r="A102" i="53" s="1"/>
  <c r="C31" i="48"/>
  <c r="F31" i="48" s="1"/>
  <c r="J11" i="48"/>
  <c r="A100" i="81"/>
  <c r="A21" i="72"/>
  <c r="A45" i="72" s="1"/>
  <c r="A87" i="72" s="1"/>
  <c r="A105" i="83"/>
  <c r="A40" i="53" s="1"/>
  <c r="A38" i="84"/>
  <c r="A118" i="83"/>
  <c r="A53" i="53" s="1"/>
  <c r="A19" i="55"/>
  <c r="A76" i="55" s="1"/>
  <c r="A128" i="55" s="1"/>
  <c r="A186" i="55" s="1"/>
  <c r="A241" i="55" s="1"/>
  <c r="F172" i="55"/>
  <c r="A71" i="81"/>
  <c r="A96" i="81" s="1"/>
  <c r="A17" i="53" s="1"/>
  <c r="A82" i="81"/>
  <c r="A107" i="81" s="1"/>
  <c r="A28" i="53" s="1"/>
  <c r="A39" i="84"/>
  <c r="A39" i="55"/>
  <c r="A96" i="55" s="1"/>
  <c r="A148" i="55" s="1"/>
  <c r="A207" i="55" s="1"/>
  <c r="A261" i="55" s="1"/>
  <c r="A76" i="83"/>
  <c r="A85" i="83"/>
  <c r="J106" i="84"/>
  <c r="H33" i="21" s="1"/>
  <c r="F33" i="72"/>
  <c r="F34" i="72" s="1"/>
  <c r="E32" i="48"/>
  <c r="A72" i="81"/>
  <c r="J12" i="29"/>
  <c r="C30" i="84"/>
  <c r="A33" i="84"/>
  <c r="A45" i="84" s="1"/>
  <c r="E28" i="42"/>
  <c r="E34" i="42" s="1"/>
  <c r="C113" i="81"/>
  <c r="D87" i="53" s="1"/>
  <c r="E280" i="55"/>
  <c r="E35" i="48"/>
  <c r="A44" i="55"/>
  <c r="A101" i="55" s="1"/>
  <c r="A153" i="55" s="1"/>
  <c r="A212" i="55" s="1"/>
  <c r="A266" i="55" s="1"/>
  <c r="A56" i="55"/>
  <c r="A113" i="55" s="1"/>
  <c r="A165" i="55" s="1"/>
  <c r="A224" i="55" s="1"/>
  <c r="A275" i="55" s="1"/>
  <c r="C34" i="72"/>
  <c r="D34" i="72"/>
  <c r="J97" i="29"/>
  <c r="A109" i="81"/>
  <c r="A31" i="53" s="1"/>
  <c r="A87" i="83"/>
  <c r="D10" i="21"/>
  <c r="A92" i="81"/>
  <c r="A13" i="53" s="1"/>
  <c r="A66" i="53" s="1"/>
  <c r="E34" i="48"/>
  <c r="C30" i="21"/>
  <c r="E30" i="48"/>
  <c r="J10" i="48"/>
  <c r="D18" i="81"/>
  <c r="B96" i="81" s="1"/>
  <c r="D14" i="81"/>
  <c r="D20" i="81"/>
  <c r="D16" i="81"/>
  <c r="C32" i="81"/>
  <c r="D34" i="81" s="1"/>
  <c r="D22" i="81"/>
  <c r="D19" i="81"/>
  <c r="D15" i="81"/>
  <c r="G22" i="57"/>
  <c r="G58" i="57"/>
  <c r="F100" i="57"/>
  <c r="D7" i="62" s="1"/>
  <c r="C18" i="68" s="1"/>
  <c r="F86" i="22"/>
  <c r="G86" i="22"/>
  <c r="F43" i="21" s="1"/>
  <c r="H97" i="29" s="1"/>
  <c r="C21" i="68"/>
  <c r="F114" i="57"/>
  <c r="D8" i="62" s="1"/>
  <c r="F125" i="57"/>
  <c r="D9" i="62" s="1"/>
  <c r="F9" i="62" s="1"/>
  <c r="A78" i="53"/>
  <c r="A85" i="81"/>
  <c r="A29" i="55"/>
  <c r="A86" i="55" s="1"/>
  <c r="A138" i="55" s="1"/>
  <c r="A196" i="55" s="1"/>
  <c r="A251" i="55" s="1"/>
  <c r="A115" i="83"/>
  <c r="A50" i="53" s="1"/>
  <c r="A35" i="84"/>
  <c r="A25" i="72"/>
  <c r="A49" i="72" s="1"/>
  <c r="A100" i="72" s="1"/>
  <c r="A102" i="81"/>
  <c r="A23" i="53" s="1"/>
  <c r="A23" i="72"/>
  <c r="A47" i="72" s="1"/>
  <c r="A94" i="72" s="1"/>
  <c r="A80" i="81"/>
  <c r="A24" i="55"/>
  <c r="A81" i="55" s="1"/>
  <c r="A133" i="55" s="1"/>
  <c r="A191" i="55" s="1"/>
  <c r="A246" i="55" s="1"/>
  <c r="A108" i="81"/>
  <c r="A29" i="53" s="1"/>
  <c r="A29" i="72"/>
  <c r="A53" i="72" s="1"/>
  <c r="A112" i="72" s="1"/>
  <c r="A87" i="81"/>
  <c r="A112" i="81" s="1"/>
  <c r="A34" i="53" s="1"/>
  <c r="A31" i="55"/>
  <c r="A88" i="55" s="1"/>
  <c r="A140" i="55" s="1"/>
  <c r="A198" i="55" s="1"/>
  <c r="A253" i="55" s="1"/>
  <c r="A89" i="53"/>
  <c r="A110" i="83"/>
  <c r="A45" i="53" s="1"/>
  <c r="A98" i="53" s="1"/>
  <c r="A88" i="83"/>
  <c r="A49" i="55"/>
  <c r="A106" i="55" s="1"/>
  <c r="A158" i="55" s="1"/>
  <c r="A217" i="55" s="1"/>
  <c r="A271" i="55" s="1"/>
  <c r="A125" i="83"/>
  <c r="A60" i="53" s="1"/>
  <c r="A113" i="53" s="1"/>
  <c r="A42" i="84"/>
  <c r="A52" i="84" s="1"/>
  <c r="F221" i="55"/>
  <c r="E221" i="55"/>
  <c r="I133" i="72"/>
  <c r="H173" i="72"/>
  <c r="H178" i="72" s="1"/>
  <c r="F29" i="21" s="1"/>
  <c r="A69" i="81"/>
  <c r="A13" i="55"/>
  <c r="A70" i="55" s="1"/>
  <c r="A122" i="55" s="1"/>
  <c r="A180" i="55" s="1"/>
  <c r="A235" i="55" s="1"/>
  <c r="M12" i="81"/>
  <c r="A95" i="53"/>
  <c r="A106" i="53"/>
  <c r="A98" i="81"/>
  <c r="A19" i="53" s="1"/>
  <c r="A19" i="72"/>
  <c r="A43" i="72" s="1"/>
  <c r="A80" i="72" s="1"/>
  <c r="A86" i="81"/>
  <c r="A111" i="81" s="1"/>
  <c r="A33" i="53" s="1"/>
  <c r="A30" i="55"/>
  <c r="A87" i="55" s="1"/>
  <c r="A139" i="55" s="1"/>
  <c r="A197" i="55" s="1"/>
  <c r="A252" i="55" s="1"/>
  <c r="A96" i="83"/>
  <c r="A57" i="55"/>
  <c r="A114" i="55" s="1"/>
  <c r="A166" i="55" s="1"/>
  <c r="A225" i="55" s="1"/>
  <c r="A276" i="55" s="1"/>
  <c r="A23" i="55"/>
  <c r="A80" i="55" s="1"/>
  <c r="A132" i="55" s="1"/>
  <c r="A190" i="55" s="1"/>
  <c r="A245" i="55" s="1"/>
  <c r="A81" i="81"/>
  <c r="A25" i="55"/>
  <c r="A82" i="55" s="1"/>
  <c r="A134" i="55" s="1"/>
  <c r="A192" i="55" s="1"/>
  <c r="A247" i="55" s="1"/>
  <c r="A95" i="81"/>
  <c r="A16" i="53" s="1"/>
  <c r="A16" i="72"/>
  <c r="A40" i="72" s="1"/>
  <c r="A69" i="72" s="1"/>
  <c r="A99" i="81"/>
  <c r="A20" i="53" s="1"/>
  <c r="A20" i="72"/>
  <c r="A44" i="72" s="1"/>
  <c r="A83" i="72" s="1"/>
  <c r="A78" i="81"/>
  <c r="A22" i="55"/>
  <c r="A79" i="55" s="1"/>
  <c r="A131" i="55" s="1"/>
  <c r="A189" i="55" s="1"/>
  <c r="A244" i="55" s="1"/>
  <c r="A68" i="81"/>
  <c r="A12" i="55"/>
  <c r="A69" i="55" s="1"/>
  <c r="A121" i="55" s="1"/>
  <c r="A179" i="55" s="1"/>
  <c r="A234" i="55" s="1"/>
  <c r="A90" i="53"/>
  <c r="A106" i="83"/>
  <c r="A41" i="53" s="1"/>
  <c r="A37" i="84"/>
  <c r="A117" i="83"/>
  <c r="A52" i="53" s="1"/>
  <c r="A94" i="83"/>
  <c r="A55" i="55"/>
  <c r="A112" i="55" s="1"/>
  <c r="A164" i="55" s="1"/>
  <c r="A223" i="55" s="1"/>
  <c r="F223" i="55"/>
  <c r="E223" i="55"/>
  <c r="H23" i="48"/>
  <c r="G33" i="48"/>
  <c r="G37" i="48"/>
  <c r="G30" i="48"/>
  <c r="G34" i="48"/>
  <c r="G38" i="48"/>
  <c r="G35" i="48"/>
  <c r="G36" i="48"/>
  <c r="A53" i="55"/>
  <c r="A110" i="55" s="1"/>
  <c r="A162" i="55" s="1"/>
  <c r="A221" i="55" s="1"/>
  <c r="A92" i="83"/>
  <c r="C10" i="21"/>
  <c r="F36" i="61" s="1"/>
  <c r="G173" i="72"/>
  <c r="G178" i="72" s="1"/>
  <c r="E29" i="21" s="1"/>
  <c r="E159" i="53"/>
  <c r="A121" i="83"/>
  <c r="A56" i="53" s="1"/>
  <c r="D113" i="81"/>
  <c r="E158" i="53"/>
  <c r="A45" i="55"/>
  <c r="A102" i="55" s="1"/>
  <c r="A154" i="55" s="1"/>
  <c r="A213" i="55" s="1"/>
  <c r="A267" i="55" s="1"/>
  <c r="F38" i="48"/>
  <c r="F30" i="48"/>
  <c r="F27" i="42"/>
  <c r="F34" i="42" s="1"/>
  <c r="E157" i="53"/>
  <c r="F36" i="48"/>
  <c r="F33" i="48"/>
  <c r="F37" i="48"/>
  <c r="F128" i="53"/>
  <c r="D72" i="83"/>
  <c r="E72" i="83" s="1"/>
  <c r="F72" i="83" s="1"/>
  <c r="G72" i="83" s="1"/>
  <c r="H72" i="83" s="1"/>
  <c r="D100" i="83"/>
  <c r="E100" i="83" s="1"/>
  <c r="F100" i="83" s="1"/>
  <c r="G100" i="83" s="1"/>
  <c r="H100" i="83" s="1"/>
  <c r="D65" i="81"/>
  <c r="E65" i="81" s="1"/>
  <c r="F65" i="81" s="1"/>
  <c r="G65" i="81" s="1"/>
  <c r="H65" i="81" s="1"/>
  <c r="F19" i="22"/>
  <c r="F20" i="22"/>
  <c r="F16" i="22"/>
  <c r="F21" i="22"/>
  <c r="F22" i="22"/>
  <c r="F18" i="22"/>
  <c r="G4" i="22"/>
  <c r="F14" i="22"/>
  <c r="F12" i="22"/>
  <c r="F10" i="22"/>
  <c r="F9" i="22"/>
  <c r="M12" i="83"/>
  <c r="L14" i="83"/>
  <c r="F74" i="83" s="1"/>
  <c r="B125" i="83"/>
  <c r="F39" i="83"/>
  <c r="H39" i="83" s="1"/>
  <c r="D34" i="42"/>
  <c r="B10" i="21"/>
  <c r="E44" i="83"/>
  <c r="F44" i="83" s="1"/>
  <c r="G44" i="83" s="1"/>
  <c r="H44" i="83" s="1"/>
  <c r="D164" i="53"/>
  <c r="B32" i="21" s="1"/>
  <c r="J8" i="48"/>
  <c r="C28" i="48"/>
  <c r="E38" i="48"/>
  <c r="C29" i="48"/>
  <c r="D33" i="83"/>
  <c r="D36" i="83"/>
  <c r="D34" i="83"/>
  <c r="D35" i="83"/>
  <c r="E33" i="48"/>
  <c r="G47" i="57"/>
  <c r="D30" i="81"/>
  <c r="D31" i="81"/>
  <c r="D29" i="81"/>
  <c r="D24" i="81"/>
  <c r="B101" i="81" s="1"/>
  <c r="D26" i="81"/>
  <c r="B103" i="81" s="1"/>
  <c r="D27" i="81"/>
  <c r="B104" i="81" s="1"/>
  <c r="D28" i="81"/>
  <c r="D25" i="81"/>
  <c r="C23" i="83"/>
  <c r="D37" i="83"/>
  <c r="D40" i="83"/>
  <c r="D15" i="83"/>
  <c r="B89" i="55"/>
  <c r="D254" i="55" s="1"/>
  <c r="D19" i="83"/>
  <c r="D17" i="83"/>
  <c r="D38" i="83"/>
  <c r="D35" i="81"/>
  <c r="F35" i="81" s="1"/>
  <c r="H35" i="81" s="1"/>
  <c r="D22" i="83"/>
  <c r="D18" i="83"/>
  <c r="D17" i="81"/>
  <c r="D21" i="81"/>
  <c r="F141" i="55"/>
  <c r="G141" i="55"/>
  <c r="F10" i="62"/>
  <c r="C86" i="22"/>
  <c r="A96" i="53"/>
  <c r="A87" i="53"/>
  <c r="I61" i="29"/>
  <c r="E86" i="22"/>
  <c r="C43" i="21"/>
  <c r="E12" i="29" s="1"/>
  <c r="A107" i="53"/>
  <c r="E141" i="55"/>
  <c r="H141" i="55"/>
  <c r="A91" i="53"/>
  <c r="O16" i="61"/>
  <c r="P9" i="61"/>
  <c r="P16" i="61" s="1"/>
  <c r="V16" i="61"/>
  <c r="A75" i="53"/>
  <c r="A141" i="53" s="1"/>
  <c r="A83" i="53"/>
  <c r="A97" i="53"/>
  <c r="A99" i="53"/>
  <c r="G85" i="57" l="1"/>
  <c r="D141" i="55"/>
  <c r="F199" i="55" s="1"/>
  <c r="G38" i="42"/>
  <c r="G29" i="42"/>
  <c r="E154" i="29"/>
  <c r="G36" i="61"/>
  <c r="G33" i="72"/>
  <c r="F32" i="48"/>
  <c r="G31" i="48"/>
  <c r="E31" i="48"/>
  <c r="A93" i="53"/>
  <c r="E164" i="53"/>
  <c r="C32" i="21" s="1"/>
  <c r="E106" i="84"/>
  <c r="C33" i="21" s="1"/>
  <c r="I106" i="84"/>
  <c r="G33" i="21" s="1"/>
  <c r="F29" i="84"/>
  <c r="F30" i="84" s="1"/>
  <c r="G106" i="84"/>
  <c r="E33" i="21" s="1"/>
  <c r="F106" i="84"/>
  <c r="D33" i="21" s="1"/>
  <c r="F14" i="81"/>
  <c r="H14" i="81" s="1"/>
  <c r="B42" i="81" s="1"/>
  <c r="B92" i="81"/>
  <c r="A84" i="53"/>
  <c r="A69" i="53"/>
  <c r="A86" i="53"/>
  <c r="A28" i="72"/>
  <c r="A52" i="72" s="1"/>
  <c r="A109" i="72" s="1"/>
  <c r="A17" i="72"/>
  <c r="A41" i="72" s="1"/>
  <c r="A72" i="72" s="1"/>
  <c r="K14" i="81"/>
  <c r="L14" i="81"/>
  <c r="D6" i="62"/>
  <c r="C43" i="22" s="1"/>
  <c r="H106" i="84"/>
  <c r="F33" i="21" s="1"/>
  <c r="A70" i="53"/>
  <c r="C20" i="21"/>
  <c r="F49" i="61" s="1"/>
  <c r="E45" i="42"/>
  <c r="E47" i="42" s="1"/>
  <c r="E49" i="42" s="1"/>
  <c r="B109" i="83"/>
  <c r="E34" i="29"/>
  <c r="F222" i="55"/>
  <c r="F294" i="55"/>
  <c r="F301" i="55" s="1"/>
  <c r="D28" i="21" s="1"/>
  <c r="F255" i="55"/>
  <c r="F279" i="55"/>
  <c r="F280" i="55"/>
  <c r="G172" i="55"/>
  <c r="G199" i="55" s="1"/>
  <c r="F16" i="83"/>
  <c r="H16" i="83" s="1"/>
  <c r="B104" i="83"/>
  <c r="E124" i="29"/>
  <c r="E169" i="29"/>
  <c r="E10" i="42"/>
  <c r="G21" i="42" s="1"/>
  <c r="G23" i="42" s="1"/>
  <c r="A113" i="83"/>
  <c r="A48" i="53" s="1"/>
  <c r="B141" i="55"/>
  <c r="D199" i="55" s="1"/>
  <c r="A104" i="83"/>
  <c r="A39" i="53" s="1"/>
  <c r="K14" i="83"/>
  <c r="E74" i="83" s="1"/>
  <c r="F14" i="83"/>
  <c r="H14" i="83" s="1"/>
  <c r="B102" i="83"/>
  <c r="J14" i="83"/>
  <c r="D74" i="83" s="1"/>
  <c r="Q9" i="61"/>
  <c r="R9" i="61" s="1"/>
  <c r="R16" i="61" s="1"/>
  <c r="F20" i="83"/>
  <c r="H20" i="83" s="1"/>
  <c r="B108" i="83"/>
  <c r="E139" i="29"/>
  <c r="A97" i="81"/>
  <c r="A18" i="53" s="1"/>
  <c r="A18" i="72"/>
  <c r="A42" i="72" s="1"/>
  <c r="A77" i="72" s="1"/>
  <c r="F18" i="81"/>
  <c r="H18" i="81" s="1"/>
  <c r="C96" i="81"/>
  <c r="J14" i="81"/>
  <c r="D33" i="81"/>
  <c r="F33" i="81" s="1"/>
  <c r="H33" i="81" s="1"/>
  <c r="D36" i="81"/>
  <c r="B112" i="81" s="1"/>
  <c r="B93" i="81"/>
  <c r="F15" i="81"/>
  <c r="H15" i="81" s="1"/>
  <c r="B94" i="81"/>
  <c r="F16" i="81"/>
  <c r="H16" i="81" s="1"/>
  <c r="B69" i="81" s="1"/>
  <c r="F22" i="81"/>
  <c r="H22" i="81" s="1"/>
  <c r="B75" i="81" s="1"/>
  <c r="B100" i="81"/>
  <c r="C100" i="81" s="1"/>
  <c r="D100" i="81" s="1"/>
  <c r="E100" i="81" s="1"/>
  <c r="F19" i="81"/>
  <c r="H19" i="81" s="1"/>
  <c r="B72" i="81" s="1"/>
  <c r="B97" i="81"/>
  <c r="B98" i="81"/>
  <c r="F20" i="81"/>
  <c r="H20" i="81" s="1"/>
  <c r="B73" i="81" s="1"/>
  <c r="F7" i="62"/>
  <c r="C49" i="22"/>
  <c r="I50" i="22" s="1"/>
  <c r="H12" i="29"/>
  <c r="E97" i="29"/>
  <c r="G61" i="29"/>
  <c r="G87" i="22"/>
  <c r="D61" i="29"/>
  <c r="E43" i="21"/>
  <c r="F87" i="22"/>
  <c r="C20" i="68"/>
  <c r="F8" i="62"/>
  <c r="C61" i="22"/>
  <c r="C19" i="68"/>
  <c r="C55" i="22"/>
  <c r="I56" i="22" s="1"/>
  <c r="F21" i="81"/>
  <c r="H21" i="81" s="1"/>
  <c r="B74" i="81" s="1"/>
  <c r="B99" i="81"/>
  <c r="B110" i="81"/>
  <c r="F34" i="81"/>
  <c r="H34" i="81" s="1"/>
  <c r="B111" i="81"/>
  <c r="C169" i="29"/>
  <c r="C124" i="29"/>
  <c r="C34" i="29"/>
  <c r="C154" i="29"/>
  <c r="C139" i="29"/>
  <c r="D169" i="29"/>
  <c r="D139" i="29"/>
  <c r="D154" i="29"/>
  <c r="D34" i="29"/>
  <c r="D124" i="29"/>
  <c r="A124" i="83"/>
  <c r="A59" i="53" s="1"/>
  <c r="A41" i="84"/>
  <c r="A116" i="83"/>
  <c r="A51" i="53" s="1"/>
  <c r="A36" i="84"/>
  <c r="A82" i="53"/>
  <c r="F22" i="83"/>
  <c r="H22" i="83" s="1"/>
  <c r="B110" i="83"/>
  <c r="B103" i="83"/>
  <c r="F15" i="83"/>
  <c r="H15" i="83" s="1"/>
  <c r="F26" i="81"/>
  <c r="H26" i="81" s="1"/>
  <c r="B78" i="81" s="1"/>
  <c r="G20" i="22"/>
  <c r="G16" i="22"/>
  <c r="G21" i="22"/>
  <c r="G22" i="22"/>
  <c r="G18" i="22"/>
  <c r="G19" i="22"/>
  <c r="G14" i="22"/>
  <c r="G13" i="22"/>
  <c r="H4" i="22"/>
  <c r="G12" i="22"/>
  <c r="G11" i="22"/>
  <c r="G9" i="22"/>
  <c r="G8" i="22"/>
  <c r="G15" i="22"/>
  <c r="G10" i="22"/>
  <c r="G27" i="42"/>
  <c r="G28" i="42"/>
  <c r="G37" i="42"/>
  <c r="E30" i="21" s="1"/>
  <c r="B53" i="83"/>
  <c r="B81" i="83"/>
  <c r="A14" i="72"/>
  <c r="A38" i="72" s="1"/>
  <c r="A62" i="72" s="1"/>
  <c r="A93" i="81"/>
  <c r="A14" i="53" s="1"/>
  <c r="A81" i="53"/>
  <c r="A106" i="81"/>
  <c r="A27" i="53" s="1"/>
  <c r="A27" i="72"/>
  <c r="A51" i="72" s="1"/>
  <c r="A106" i="72" s="1"/>
  <c r="M14" i="81"/>
  <c r="N12" i="81"/>
  <c r="N14" i="81" s="1"/>
  <c r="A103" i="53"/>
  <c r="A105" i="53"/>
  <c r="A73" i="53"/>
  <c r="F18" i="83"/>
  <c r="H18" i="83" s="1"/>
  <c r="B106" i="83"/>
  <c r="B61" i="81"/>
  <c r="C32" i="53" s="1"/>
  <c r="B86" i="81"/>
  <c r="C86" i="81" s="1"/>
  <c r="D86" i="81" s="1"/>
  <c r="E86" i="81" s="1"/>
  <c r="F86" i="81" s="1"/>
  <c r="G86" i="81" s="1"/>
  <c r="H86" i="81" s="1"/>
  <c r="B105" i="83"/>
  <c r="F17" i="83"/>
  <c r="H17" i="83" s="1"/>
  <c r="B126" i="83"/>
  <c r="F40" i="83"/>
  <c r="H40" i="83" s="1"/>
  <c r="B102" i="81"/>
  <c r="F25" i="81"/>
  <c r="H25" i="81" s="1"/>
  <c r="B77" i="81" s="1"/>
  <c r="F24" i="81"/>
  <c r="H24" i="81" s="1"/>
  <c r="B76" i="81" s="1"/>
  <c r="B121" i="83"/>
  <c r="F35" i="83"/>
  <c r="H35" i="83" s="1"/>
  <c r="E28" i="48"/>
  <c r="F28" i="48"/>
  <c r="G28" i="48"/>
  <c r="H28" i="48"/>
  <c r="B20" i="21"/>
  <c r="D45" i="42"/>
  <c r="D47" i="42" s="1"/>
  <c r="G128" i="53"/>
  <c r="F158" i="53"/>
  <c r="F159" i="53"/>
  <c r="F156" i="53"/>
  <c r="F157" i="53"/>
  <c r="H33" i="72"/>
  <c r="H34" i="72" s="1"/>
  <c r="G34" i="72"/>
  <c r="E113" i="81"/>
  <c r="E87" i="53"/>
  <c r="A109" i="53"/>
  <c r="I23" i="48"/>
  <c r="H30" i="48"/>
  <c r="H34" i="48"/>
  <c r="H38" i="48"/>
  <c r="H31" i="48"/>
  <c r="H35" i="48"/>
  <c r="H37" i="48"/>
  <c r="H32" i="48"/>
  <c r="H52" i="48"/>
  <c r="H56" i="48" s="1"/>
  <c r="E31" i="21" s="1"/>
  <c r="H33" i="48"/>
  <c r="H36" i="48"/>
  <c r="A122" i="83"/>
  <c r="A57" i="53" s="1"/>
  <c r="J133" i="72"/>
  <c r="J173" i="72" s="1"/>
  <c r="J178" i="72" s="1"/>
  <c r="H29" i="21" s="1"/>
  <c r="I173" i="72"/>
  <c r="I178" i="72" s="1"/>
  <c r="G29" i="21" s="1"/>
  <c r="A105" i="81"/>
  <c r="A26" i="53" s="1"/>
  <c r="A26" i="72"/>
  <c r="A50" i="72" s="1"/>
  <c r="A103" i="72" s="1"/>
  <c r="D28" i="83"/>
  <c r="D27" i="83"/>
  <c r="D31" i="83"/>
  <c r="D24" i="83"/>
  <c r="D26" i="83"/>
  <c r="D29" i="83"/>
  <c r="D30" i="83"/>
  <c r="D25" i="83"/>
  <c r="F27" i="81"/>
  <c r="H27" i="81" s="1"/>
  <c r="B54" i="81" s="1"/>
  <c r="B108" i="81"/>
  <c r="F31" i="81"/>
  <c r="H31" i="81" s="1"/>
  <c r="F36" i="83"/>
  <c r="H36" i="83" s="1"/>
  <c r="B122" i="83"/>
  <c r="C60" i="53"/>
  <c r="C113" i="53" s="1"/>
  <c r="C125" i="83"/>
  <c r="N12" i="83"/>
  <c r="N14" i="83" s="1"/>
  <c r="H74" i="83" s="1"/>
  <c r="M14" i="83"/>
  <c r="G74" i="83" s="1"/>
  <c r="E44" i="48"/>
  <c r="H44" i="48"/>
  <c r="G44" i="48"/>
  <c r="F44" i="48"/>
  <c r="D20" i="21"/>
  <c r="G49" i="61" s="1"/>
  <c r="F45" i="42"/>
  <c r="F47" i="42" s="1"/>
  <c r="F49" i="42" s="1"/>
  <c r="C44" i="53"/>
  <c r="C97" i="53" s="1"/>
  <c r="C109" i="83"/>
  <c r="A72" i="53"/>
  <c r="A15" i="72"/>
  <c r="A39" i="72" s="1"/>
  <c r="A65" i="72" s="1"/>
  <c r="A94" i="81"/>
  <c r="A15" i="53" s="1"/>
  <c r="A76" i="53"/>
  <c r="B95" i="81"/>
  <c r="F17" i="81"/>
  <c r="H17" i="81" s="1"/>
  <c r="B70" i="81" s="1"/>
  <c r="B124" i="83"/>
  <c r="F38" i="83"/>
  <c r="H38" i="83" s="1"/>
  <c r="B107" i="81"/>
  <c r="F30" i="81"/>
  <c r="H30" i="81" s="1"/>
  <c r="B119" i="83"/>
  <c r="F33" i="83"/>
  <c r="H33" i="83" s="1"/>
  <c r="F19" i="83"/>
  <c r="H19" i="83" s="1"/>
  <c r="B107" i="83"/>
  <c r="B123" i="83"/>
  <c r="F37" i="83"/>
  <c r="H37" i="83" s="1"/>
  <c r="B105" i="81"/>
  <c r="F28" i="81"/>
  <c r="H28" i="81" s="1"/>
  <c r="B106" i="81"/>
  <c r="F29" i="81"/>
  <c r="H29" i="81" s="1"/>
  <c r="B120" i="83"/>
  <c r="F34" i="83"/>
  <c r="H34" i="83" s="1"/>
  <c r="E29" i="48"/>
  <c r="G29" i="48"/>
  <c r="F29" i="48"/>
  <c r="H29" i="48"/>
  <c r="H43" i="48"/>
  <c r="G43" i="48"/>
  <c r="E43" i="48"/>
  <c r="E49" i="48" s="1"/>
  <c r="F43" i="48"/>
  <c r="F49" i="48" s="1"/>
  <c r="B97" i="83"/>
  <c r="B69" i="83"/>
  <c r="A120" i="83"/>
  <c r="A55" i="53" s="1"/>
  <c r="A94" i="53"/>
  <c r="A103" i="81"/>
  <c r="A24" i="53" s="1"/>
  <c r="A24" i="72"/>
  <c r="A48" i="72" s="1"/>
  <c r="A97" i="72" s="1"/>
  <c r="A31" i="72"/>
  <c r="A55" i="72" s="1"/>
  <c r="A118" i="72" s="1"/>
  <c r="A110" i="81"/>
  <c r="A32" i="53" s="1"/>
  <c r="E87" i="22"/>
  <c r="D43" i="21"/>
  <c r="B43" i="21"/>
  <c r="C87" i="22"/>
  <c r="B71" i="81" l="1"/>
  <c r="B17" i="72" s="1"/>
  <c r="B41" i="72" s="1"/>
  <c r="H38" i="42"/>
  <c r="H29" i="42"/>
  <c r="Q16" i="61"/>
  <c r="G29" i="84"/>
  <c r="E199" i="55"/>
  <c r="B109" i="81"/>
  <c r="C109" i="81" s="1"/>
  <c r="D109" i="81" s="1"/>
  <c r="E109" i="81" s="1"/>
  <c r="F109" i="81" s="1"/>
  <c r="G109" i="81" s="1"/>
  <c r="H109" i="81" s="1"/>
  <c r="B76" i="83"/>
  <c r="B48" i="83"/>
  <c r="A101" i="53"/>
  <c r="H172" i="55"/>
  <c r="G255" i="55"/>
  <c r="G294" i="55"/>
  <c r="G301" i="55" s="1"/>
  <c r="E28" i="21" s="1"/>
  <c r="G279" i="55"/>
  <c r="G280" i="55"/>
  <c r="G222" i="55"/>
  <c r="G254" i="55"/>
  <c r="G221" i="55"/>
  <c r="G223" i="55"/>
  <c r="F164" i="53"/>
  <c r="D32" i="21" s="1"/>
  <c r="C37" i="53"/>
  <c r="C90" i="53" s="1"/>
  <c r="C102" i="83"/>
  <c r="F10" i="42"/>
  <c r="H21" i="42" s="1"/>
  <c r="H23" i="42" s="1"/>
  <c r="F10" i="21" s="1"/>
  <c r="I36" i="61" s="1"/>
  <c r="A71" i="53"/>
  <c r="B46" i="83"/>
  <c r="B74" i="83"/>
  <c r="C43" i="53"/>
  <c r="C96" i="53" s="1"/>
  <c r="C108" i="83"/>
  <c r="B52" i="83"/>
  <c r="B80" i="83"/>
  <c r="A92" i="53"/>
  <c r="C39" i="53"/>
  <c r="C92" i="53" s="1"/>
  <c r="C104" i="83"/>
  <c r="B11" i="21"/>
  <c r="G49" i="48"/>
  <c r="D21" i="21" s="1"/>
  <c r="G50" i="61" s="1"/>
  <c r="G34" i="42"/>
  <c r="E20" i="21" s="1"/>
  <c r="H49" i="61" s="1"/>
  <c r="C71" i="81"/>
  <c r="D71" i="81" s="1"/>
  <c r="E71" i="81" s="1"/>
  <c r="B46" i="81"/>
  <c r="C17" i="53" s="1"/>
  <c r="C70" i="53" s="1"/>
  <c r="F36" i="81"/>
  <c r="H36" i="81" s="1"/>
  <c r="B87" i="81" s="1"/>
  <c r="C87" i="81" s="1"/>
  <c r="D87" i="81" s="1"/>
  <c r="E87" i="81" s="1"/>
  <c r="F87" i="81" s="1"/>
  <c r="G87" i="81" s="1"/>
  <c r="H87" i="81" s="1"/>
  <c r="D96" i="81"/>
  <c r="C66" i="53"/>
  <c r="C92" i="81"/>
  <c r="C98" i="81"/>
  <c r="B50" i="81"/>
  <c r="C21" i="53" s="1"/>
  <c r="C67" i="53"/>
  <c r="C93" i="81"/>
  <c r="B48" i="81"/>
  <c r="C19" i="53" s="1"/>
  <c r="C72" i="53" s="1"/>
  <c r="B68" i="81"/>
  <c r="B43" i="81"/>
  <c r="C97" i="81"/>
  <c r="B44" i="81"/>
  <c r="C15" i="53" s="1"/>
  <c r="B47" i="81"/>
  <c r="C18" i="53" s="1"/>
  <c r="C71" i="53" s="1"/>
  <c r="C94" i="81"/>
  <c r="G50" i="22"/>
  <c r="C50" i="22"/>
  <c r="C52" i="22" s="1"/>
  <c r="D49" i="22" s="1"/>
  <c r="F50" i="22"/>
  <c r="K49" i="22"/>
  <c r="K50" i="22" s="1"/>
  <c r="F6" i="62"/>
  <c r="H50" i="22"/>
  <c r="D50" i="22"/>
  <c r="E50" i="22"/>
  <c r="C17" i="68"/>
  <c r="H56" i="22"/>
  <c r="F56" i="22"/>
  <c r="G56" i="22"/>
  <c r="K55" i="22"/>
  <c r="K56" i="22" s="1"/>
  <c r="K57" i="22" s="1"/>
  <c r="G97" i="29"/>
  <c r="F61" i="29"/>
  <c r="G12" i="29"/>
  <c r="D56" i="22"/>
  <c r="C56" i="22"/>
  <c r="C57" i="22" s="1"/>
  <c r="E56" i="22"/>
  <c r="C62" i="22"/>
  <c r="C63" i="22" s="1"/>
  <c r="D62" i="22"/>
  <c r="F62" i="22"/>
  <c r="G62" i="22"/>
  <c r="I62" i="22"/>
  <c r="E62" i="22"/>
  <c r="H62" i="22"/>
  <c r="K61" i="22"/>
  <c r="B58" i="55"/>
  <c r="B115" i="55" s="1"/>
  <c r="C69" i="83"/>
  <c r="B55" i="81"/>
  <c r="C26" i="53" s="1"/>
  <c r="C79" i="53" s="1"/>
  <c r="B80" i="81"/>
  <c r="B91" i="83"/>
  <c r="B63" i="83"/>
  <c r="B68" i="83"/>
  <c r="B96" i="83"/>
  <c r="D60" i="53"/>
  <c r="D113" i="53" s="1"/>
  <c r="D125" i="83"/>
  <c r="C57" i="53"/>
  <c r="C110" i="53" s="1"/>
  <c r="C122" i="83"/>
  <c r="B116" i="83"/>
  <c r="F29" i="83"/>
  <c r="H29" i="83" s="1"/>
  <c r="B114" i="83"/>
  <c r="F27" i="83"/>
  <c r="H27" i="83" s="1"/>
  <c r="I31" i="48"/>
  <c r="I35" i="48"/>
  <c r="J23" i="48"/>
  <c r="I32" i="48"/>
  <c r="I36" i="48"/>
  <c r="I30" i="48"/>
  <c r="I38" i="48"/>
  <c r="I33" i="48"/>
  <c r="I52" i="48"/>
  <c r="I56" i="48" s="1"/>
  <c r="F31" i="21" s="1"/>
  <c r="I34" i="48"/>
  <c r="I37" i="48"/>
  <c r="F113" i="81"/>
  <c r="F87" i="53"/>
  <c r="H39" i="48"/>
  <c r="I28" i="48"/>
  <c r="C56" i="53"/>
  <c r="C109" i="53" s="1"/>
  <c r="C121" i="83"/>
  <c r="C101" i="81"/>
  <c r="C61" i="53"/>
  <c r="C114" i="53" s="1"/>
  <c r="C126" i="83"/>
  <c r="B30" i="55"/>
  <c r="B87" i="55" s="1"/>
  <c r="C61" i="81"/>
  <c r="D32" i="53" s="1"/>
  <c r="B53" i="81"/>
  <c r="C24" i="53" s="1"/>
  <c r="C45" i="53"/>
  <c r="C98" i="53" s="1"/>
  <c r="C110" i="83"/>
  <c r="C85" i="53"/>
  <c r="C111" i="81"/>
  <c r="B49" i="81"/>
  <c r="C20" i="53" s="1"/>
  <c r="B42" i="84"/>
  <c r="C97" i="83"/>
  <c r="I43" i="48"/>
  <c r="H49" i="48"/>
  <c r="C105" i="81"/>
  <c r="B51" i="83"/>
  <c r="B79" i="83"/>
  <c r="B84" i="81"/>
  <c r="B59" i="81"/>
  <c r="C30" i="53" s="1"/>
  <c r="C54" i="53"/>
  <c r="C107" i="53" s="1"/>
  <c r="C119" i="83"/>
  <c r="C59" i="53"/>
  <c r="C112" i="53" s="1"/>
  <c r="C124" i="83"/>
  <c r="G30" i="84"/>
  <c r="H29" i="84"/>
  <c r="H30" i="84" s="1"/>
  <c r="B94" i="83"/>
  <c r="B66" i="83"/>
  <c r="C66" i="83" s="1"/>
  <c r="D66" i="83" s="1"/>
  <c r="E66" i="83" s="1"/>
  <c r="F66" i="83" s="1"/>
  <c r="G66" i="83" s="1"/>
  <c r="H66" i="83" s="1"/>
  <c r="C78" i="53"/>
  <c r="C104" i="81"/>
  <c r="F26" i="83"/>
  <c r="H26" i="83" s="1"/>
  <c r="B113" i="83"/>
  <c r="B115" i="83"/>
  <c r="F28" i="83"/>
  <c r="H28" i="83" s="1"/>
  <c r="A79" i="53"/>
  <c r="A110" i="53"/>
  <c r="E10" i="21"/>
  <c r="H36" i="61" s="1"/>
  <c r="F39" i="48"/>
  <c r="B52" i="81"/>
  <c r="B77" i="83"/>
  <c r="B49" i="83"/>
  <c r="C41" i="53"/>
  <c r="C94" i="53" s="1"/>
  <c r="C106" i="83"/>
  <c r="C81" i="83"/>
  <c r="H21" i="22"/>
  <c r="H22" i="22"/>
  <c r="H18" i="22"/>
  <c r="H19" i="22"/>
  <c r="H20" i="22"/>
  <c r="H16" i="22"/>
  <c r="H15" i="22"/>
  <c r="H13" i="22"/>
  <c r="H11" i="22"/>
  <c r="H8" i="22"/>
  <c r="H12" i="22"/>
  <c r="H10" i="22"/>
  <c r="H14" i="22"/>
  <c r="I4" i="22"/>
  <c r="H9" i="22"/>
  <c r="C77" i="53"/>
  <c r="C103" i="81"/>
  <c r="B54" i="83"/>
  <c r="B82" i="83"/>
  <c r="B85" i="81"/>
  <c r="B60" i="81"/>
  <c r="C31" i="53" s="1"/>
  <c r="H128" i="53"/>
  <c r="G159" i="53"/>
  <c r="G156" i="53"/>
  <c r="G157" i="53"/>
  <c r="G158" i="53"/>
  <c r="C76" i="53"/>
  <c r="C102" i="81"/>
  <c r="C21" i="21"/>
  <c r="F50" i="61" s="1"/>
  <c r="F57" i="48"/>
  <c r="C42" i="53"/>
  <c r="C95" i="53" s="1"/>
  <c r="C107" i="83"/>
  <c r="A85" i="53"/>
  <c r="A77" i="53"/>
  <c r="A142" i="53" s="1"/>
  <c r="B92" i="83"/>
  <c r="B64" i="83"/>
  <c r="C64" i="83" s="1"/>
  <c r="D64" i="83" s="1"/>
  <c r="E64" i="83" s="1"/>
  <c r="F64" i="83" s="1"/>
  <c r="G64" i="83" s="1"/>
  <c r="H64" i="83" s="1"/>
  <c r="B81" i="81"/>
  <c r="B56" i="81"/>
  <c r="C27" i="53" s="1"/>
  <c r="C80" i="53" s="1"/>
  <c r="B67" i="83"/>
  <c r="B95" i="83"/>
  <c r="B57" i="81"/>
  <c r="C28" i="53" s="1"/>
  <c r="B82" i="81"/>
  <c r="B45" i="81"/>
  <c r="C16" i="53" s="1"/>
  <c r="A68" i="53"/>
  <c r="A140" i="53" s="1"/>
  <c r="D44" i="53"/>
  <c r="D97" i="53" s="1"/>
  <c r="D109" i="83"/>
  <c r="I44" i="48"/>
  <c r="B58" i="81"/>
  <c r="C29" i="53" s="1"/>
  <c r="C82" i="53" s="1"/>
  <c r="B83" i="81"/>
  <c r="B112" i="83"/>
  <c r="F25" i="83"/>
  <c r="H25" i="83" s="1"/>
  <c r="F24" i="83"/>
  <c r="H24" i="83" s="1"/>
  <c r="B111" i="83"/>
  <c r="B37" i="72"/>
  <c r="C67" i="81"/>
  <c r="G39" i="48"/>
  <c r="C40" i="53"/>
  <c r="C93" i="53" s="1"/>
  <c r="C105" i="83"/>
  <c r="B78" i="83"/>
  <c r="B50" i="83"/>
  <c r="A67" i="53"/>
  <c r="C53" i="83"/>
  <c r="B42" i="55"/>
  <c r="B99" i="55" s="1"/>
  <c r="B47" i="83"/>
  <c r="B75" i="83"/>
  <c r="A104" i="53"/>
  <c r="A112" i="53"/>
  <c r="C44" i="22"/>
  <c r="C45" i="22" s="1"/>
  <c r="G44" i="22"/>
  <c r="F44" i="22"/>
  <c r="K43" i="22"/>
  <c r="I44" i="22"/>
  <c r="D44" i="22"/>
  <c r="H44" i="22"/>
  <c r="E44" i="22"/>
  <c r="C84" i="53"/>
  <c r="C110" i="81"/>
  <c r="F100" i="81"/>
  <c r="G100" i="81" s="1"/>
  <c r="H100" i="81" s="1"/>
  <c r="A108" i="53"/>
  <c r="B21" i="21"/>
  <c r="E50" i="61" s="1"/>
  <c r="E57" i="48"/>
  <c r="I29" i="48"/>
  <c r="C55" i="53"/>
  <c r="C108" i="53" s="1"/>
  <c r="C120" i="83"/>
  <c r="C106" i="81"/>
  <c r="C58" i="53"/>
  <c r="C111" i="53" s="1"/>
  <c r="C123" i="83"/>
  <c r="C112" i="81"/>
  <c r="C81" i="53"/>
  <c r="C107" i="81"/>
  <c r="C69" i="53"/>
  <c r="C95" i="81"/>
  <c r="C108" i="81"/>
  <c r="B117" i="83"/>
  <c r="F30" i="83"/>
  <c r="H30" i="83" s="1"/>
  <c r="B118" i="83"/>
  <c r="F31" i="83"/>
  <c r="H31" i="83" s="1"/>
  <c r="B11" i="55"/>
  <c r="B13" i="84" s="1"/>
  <c r="C42" i="81"/>
  <c r="B93" i="83"/>
  <c r="B65" i="83"/>
  <c r="C65" i="83" s="1"/>
  <c r="D65" i="83" s="1"/>
  <c r="E65" i="83" s="1"/>
  <c r="F65" i="83" s="1"/>
  <c r="G65" i="83" s="1"/>
  <c r="H65" i="83" s="1"/>
  <c r="B51" i="81"/>
  <c r="C22" i="53" s="1"/>
  <c r="C75" i="53" s="1"/>
  <c r="B70" i="83"/>
  <c r="B98" i="83"/>
  <c r="A80" i="53"/>
  <c r="H28" i="42"/>
  <c r="H37" i="42"/>
  <c r="F30" i="21" s="1"/>
  <c r="H27" i="42"/>
  <c r="C38" i="53"/>
  <c r="C91" i="53" s="1"/>
  <c r="C103" i="83"/>
  <c r="C73" i="53"/>
  <c r="C99" i="81"/>
  <c r="E61" i="29"/>
  <c r="F12" i="29"/>
  <c r="F97" i="29"/>
  <c r="D97" i="29"/>
  <c r="C61" i="29"/>
  <c r="D12" i="29"/>
  <c r="B18" i="69"/>
  <c r="C18" i="69" s="1"/>
  <c r="D18" i="69" s="1"/>
  <c r="E18" i="69" s="1"/>
  <c r="F18" i="69" s="1"/>
  <c r="G18" i="69" s="1"/>
  <c r="H18" i="69" s="1"/>
  <c r="C63" i="53" l="1"/>
  <c r="C11" i="53" s="1"/>
  <c r="D146" i="53" s="1"/>
  <c r="B33" i="84"/>
  <c r="C68" i="53"/>
  <c r="I29" i="42"/>
  <c r="I38" i="42"/>
  <c r="G45" i="42"/>
  <c r="G47" i="42" s="1"/>
  <c r="G49" i="42" s="1"/>
  <c r="C119" i="53"/>
  <c r="D141" i="53"/>
  <c r="C120" i="53"/>
  <c r="D142" i="53"/>
  <c r="B62" i="81"/>
  <c r="C33" i="53" s="1"/>
  <c r="C86" i="53" s="1"/>
  <c r="C51" i="22"/>
  <c r="D51" i="22" s="1"/>
  <c r="G164" i="53"/>
  <c r="E32" i="21" s="1"/>
  <c r="D17" i="72"/>
  <c r="D41" i="72" s="1"/>
  <c r="D43" i="53"/>
  <c r="D96" i="53" s="1"/>
  <c r="D108" i="83"/>
  <c r="D37" i="53"/>
  <c r="D90" i="53" s="1"/>
  <c r="D102" i="83"/>
  <c r="C17" i="72"/>
  <c r="C41" i="72" s="1"/>
  <c r="D39" i="53"/>
  <c r="D92" i="53" s="1"/>
  <c r="D104" i="83"/>
  <c r="B35" i="55"/>
  <c r="B92" i="55" s="1"/>
  <c r="C46" i="83"/>
  <c r="H255" i="55"/>
  <c r="H222" i="55"/>
  <c r="H223" i="55"/>
  <c r="H294" i="55"/>
  <c r="H301" i="55" s="1"/>
  <c r="F28" i="21" s="1"/>
  <c r="I172" i="55"/>
  <c r="H279" i="55"/>
  <c r="H280" i="55"/>
  <c r="H221" i="55"/>
  <c r="H254" i="55"/>
  <c r="H199" i="55"/>
  <c r="E59" i="48"/>
  <c r="G57" i="48"/>
  <c r="G59" i="48" s="1"/>
  <c r="C80" i="83"/>
  <c r="G10" i="42"/>
  <c r="I21" i="42" s="1"/>
  <c r="I23" i="42" s="1"/>
  <c r="H10" i="42"/>
  <c r="C48" i="83"/>
  <c r="B37" i="55"/>
  <c r="B94" i="55" s="1"/>
  <c r="B41" i="55"/>
  <c r="B98" i="55" s="1"/>
  <c r="C52" i="83"/>
  <c r="C76" i="83"/>
  <c r="C46" i="81"/>
  <c r="D17" i="53" s="1"/>
  <c r="D70" i="53" s="1"/>
  <c r="B15" i="55"/>
  <c r="B72" i="55" s="1"/>
  <c r="E96" i="81"/>
  <c r="D66" i="53"/>
  <c r="D92" i="81"/>
  <c r="D71" i="53"/>
  <c r="D97" i="81"/>
  <c r="B21" i="72"/>
  <c r="B45" i="72" s="1"/>
  <c r="C75" i="81"/>
  <c r="B16" i="55"/>
  <c r="B73" i="55" s="1"/>
  <c r="C47" i="81"/>
  <c r="D18" i="53" s="1"/>
  <c r="C73" i="81"/>
  <c r="B19" i="72"/>
  <c r="B43" i="72" s="1"/>
  <c r="C50" i="81"/>
  <c r="D21" i="53" s="1"/>
  <c r="B19" i="55"/>
  <c r="B76" i="55" s="1"/>
  <c r="C72" i="81"/>
  <c r="B18" i="72"/>
  <c r="B42" i="72" s="1"/>
  <c r="C48" i="81"/>
  <c r="D19" i="53" s="1"/>
  <c r="B17" i="55"/>
  <c r="B74" i="55" s="1"/>
  <c r="D94" i="81"/>
  <c r="B39" i="72"/>
  <c r="C69" i="81"/>
  <c r="B12" i="55"/>
  <c r="B69" i="55" s="1"/>
  <c r="C43" i="81"/>
  <c r="D67" i="53"/>
  <c r="D93" i="81"/>
  <c r="D72" i="53"/>
  <c r="D98" i="81"/>
  <c r="C44" i="81"/>
  <c r="D15" i="53" s="1"/>
  <c r="D68" i="53" s="1"/>
  <c r="B13" i="55"/>
  <c r="B70" i="55" s="1"/>
  <c r="B14" i="72"/>
  <c r="B38" i="72" s="1"/>
  <c r="C68" i="81"/>
  <c r="D57" i="22"/>
  <c r="E57" i="22" s="1"/>
  <c r="F57" i="22" s="1"/>
  <c r="G57" i="22" s="1"/>
  <c r="H57" i="22" s="1"/>
  <c r="I57" i="22" s="1"/>
  <c r="C64" i="22"/>
  <c r="D61" i="22" s="1"/>
  <c r="D64" i="22" s="1"/>
  <c r="E61" i="22" s="1"/>
  <c r="E64" i="22" s="1"/>
  <c r="F61" i="22" s="1"/>
  <c r="F64" i="22" s="1"/>
  <c r="G61" i="22" s="1"/>
  <c r="G64" i="22" s="1"/>
  <c r="H61" i="22" s="1"/>
  <c r="H64" i="22" s="1"/>
  <c r="I61" i="22" s="1"/>
  <c r="I64" i="22" s="1"/>
  <c r="C58" i="22"/>
  <c r="D55" i="22" s="1"/>
  <c r="D58" i="22" s="1"/>
  <c r="E55" i="22" s="1"/>
  <c r="E58" i="22" s="1"/>
  <c r="F55" i="22" s="1"/>
  <c r="F58" i="22" s="1"/>
  <c r="G55" i="22" s="1"/>
  <c r="G58" i="22" s="1"/>
  <c r="H55" i="22" s="1"/>
  <c r="H58" i="22" s="1"/>
  <c r="I55" i="22" s="1"/>
  <c r="I58" i="22" s="1"/>
  <c r="D63" i="22"/>
  <c r="E63" i="22" s="1"/>
  <c r="F63" i="22" s="1"/>
  <c r="G63" i="22" s="1"/>
  <c r="H63" i="22" s="1"/>
  <c r="I63" i="22" s="1"/>
  <c r="K62" i="22"/>
  <c r="K63" i="22" s="1"/>
  <c r="D45" i="22"/>
  <c r="E45" i="22" s="1"/>
  <c r="F45" i="22" s="1"/>
  <c r="G45" i="22" s="1"/>
  <c r="H45" i="22" s="1"/>
  <c r="I45" i="22" s="1"/>
  <c r="D99" i="81"/>
  <c r="D73" i="53"/>
  <c r="B20" i="55"/>
  <c r="B77" i="55" s="1"/>
  <c r="C51" i="81"/>
  <c r="D22" i="53" s="1"/>
  <c r="B68" i="55"/>
  <c r="D53" i="83"/>
  <c r="C42" i="55"/>
  <c r="C99" i="55" s="1"/>
  <c r="D67" i="81"/>
  <c r="E44" i="53"/>
  <c r="E97" i="53" s="1"/>
  <c r="E109" i="83"/>
  <c r="B14" i="55"/>
  <c r="B71" i="55" s="1"/>
  <c r="C45" i="81"/>
  <c r="D16" i="53" s="1"/>
  <c r="D103" i="83"/>
  <c r="D38" i="53"/>
  <c r="D91" i="53" s="1"/>
  <c r="I37" i="42"/>
  <c r="I27" i="42"/>
  <c r="I28" i="42"/>
  <c r="B43" i="84"/>
  <c r="C98" i="83"/>
  <c r="D108" i="81"/>
  <c r="D107" i="81"/>
  <c r="D55" i="53"/>
  <c r="D108" i="53" s="1"/>
  <c r="D120" i="83"/>
  <c r="C75" i="83"/>
  <c r="C155" i="29"/>
  <c r="C35" i="29"/>
  <c r="C140" i="29"/>
  <c r="C170" i="29"/>
  <c r="C125" i="29"/>
  <c r="C47" i="53"/>
  <c r="C100" i="53" s="1"/>
  <c r="C112" i="83"/>
  <c r="B16" i="72"/>
  <c r="C70" i="81"/>
  <c r="B31" i="55"/>
  <c r="B88" i="55" s="1"/>
  <c r="C62" i="81"/>
  <c r="D33" i="53" s="1"/>
  <c r="D81" i="83"/>
  <c r="C48" i="53"/>
  <c r="C101" i="53" s="1"/>
  <c r="C113" i="83"/>
  <c r="D59" i="53"/>
  <c r="D112" i="53" s="1"/>
  <c r="D124" i="83"/>
  <c r="D105" i="81"/>
  <c r="E21" i="21"/>
  <c r="H50" i="61" s="1"/>
  <c r="H57" i="48"/>
  <c r="H59" i="48" s="1"/>
  <c r="B20" i="72"/>
  <c r="B44" i="72" s="1"/>
  <c r="C74" i="81"/>
  <c r="E17" i="72"/>
  <c r="E41" i="72" s="1"/>
  <c r="F71" i="81"/>
  <c r="D56" i="53"/>
  <c r="D109" i="53" s="1"/>
  <c r="D121" i="83"/>
  <c r="B60" i="83"/>
  <c r="B88" i="83"/>
  <c r="B52" i="55"/>
  <c r="B109" i="55" s="1"/>
  <c r="C63" i="83"/>
  <c r="B59" i="55"/>
  <c r="B116" i="55" s="1"/>
  <c r="C70" i="83"/>
  <c r="C53" i="53"/>
  <c r="C106" i="53" s="1"/>
  <c r="C118" i="83"/>
  <c r="D84" i="53"/>
  <c r="D110" i="81"/>
  <c r="B36" i="55"/>
  <c r="C47" i="83"/>
  <c r="D11" i="21"/>
  <c r="C46" i="53"/>
  <c r="C99" i="53" s="1"/>
  <c r="C111" i="83"/>
  <c r="B29" i="72"/>
  <c r="B53" i="72" s="1"/>
  <c r="C83" i="81"/>
  <c r="B28" i="72"/>
  <c r="B52" i="72" s="1"/>
  <c r="C82" i="81"/>
  <c r="B40" i="84"/>
  <c r="C95" i="83"/>
  <c r="D42" i="53"/>
  <c r="D95" i="53" s="1"/>
  <c r="D107" i="83"/>
  <c r="D76" i="53"/>
  <c r="D102" i="81"/>
  <c r="B29" i="55"/>
  <c r="B86" i="55" s="1"/>
  <c r="C60" i="81"/>
  <c r="D31" i="53" s="1"/>
  <c r="D103" i="81"/>
  <c r="C77" i="83"/>
  <c r="F139" i="29"/>
  <c r="F124" i="29"/>
  <c r="F169" i="29"/>
  <c r="F34" i="29"/>
  <c r="F154" i="29"/>
  <c r="B85" i="83"/>
  <c r="B57" i="83"/>
  <c r="C94" i="83"/>
  <c r="B30" i="72"/>
  <c r="B54" i="72" s="1"/>
  <c r="C84" i="81"/>
  <c r="I49" i="48"/>
  <c r="D111" i="81"/>
  <c r="D85" i="53"/>
  <c r="B22" i="55"/>
  <c r="B79" i="55" s="1"/>
  <c r="C53" i="81"/>
  <c r="D24" i="53" s="1"/>
  <c r="D77" i="53" s="1"/>
  <c r="C51" i="53"/>
  <c r="C104" i="53" s="1"/>
  <c r="C116" i="83"/>
  <c r="B39" i="84"/>
  <c r="C91" i="83"/>
  <c r="D69" i="83"/>
  <c r="C58" i="55"/>
  <c r="C115" i="55" s="1"/>
  <c r="C52" i="53"/>
  <c r="C105" i="53" s="1"/>
  <c r="C117" i="83"/>
  <c r="C78" i="83"/>
  <c r="B56" i="83"/>
  <c r="B84" i="83"/>
  <c r="B25" i="55"/>
  <c r="B82" i="55" s="1"/>
  <c r="C56" i="81"/>
  <c r="D27" i="53" s="1"/>
  <c r="D80" i="53" s="1"/>
  <c r="G154" i="29"/>
  <c r="G124" i="29"/>
  <c r="G34" i="29"/>
  <c r="G169" i="29"/>
  <c r="G139" i="29"/>
  <c r="C82" i="83"/>
  <c r="B21" i="55"/>
  <c r="B78" i="55" s="1"/>
  <c r="C52" i="81"/>
  <c r="C50" i="53"/>
  <c r="C103" i="53" s="1"/>
  <c r="C115" i="83"/>
  <c r="B40" i="55"/>
  <c r="B97" i="55" s="1"/>
  <c r="C51" i="83"/>
  <c r="B18" i="55"/>
  <c r="B75" i="55" s="1"/>
  <c r="C49" i="81"/>
  <c r="D20" i="53" s="1"/>
  <c r="B139" i="55"/>
  <c r="D197" i="55" s="1"/>
  <c r="D252" i="55"/>
  <c r="E11" i="21"/>
  <c r="J31" i="48"/>
  <c r="J35" i="48"/>
  <c r="J32" i="48"/>
  <c r="J36" i="48"/>
  <c r="J37" i="48"/>
  <c r="J52" i="48"/>
  <c r="J56" i="48" s="1"/>
  <c r="G31" i="21" s="1"/>
  <c r="J30" i="48"/>
  <c r="J38" i="48"/>
  <c r="K23" i="48"/>
  <c r="J33" i="48"/>
  <c r="J34" i="48"/>
  <c r="J28" i="48"/>
  <c r="J44" i="48"/>
  <c r="J43" i="48"/>
  <c r="J29" i="48"/>
  <c r="C49" i="53"/>
  <c r="C102" i="53" s="1"/>
  <c r="C114" i="83"/>
  <c r="B49" i="72"/>
  <c r="C79" i="81"/>
  <c r="B57" i="55"/>
  <c r="B114" i="55" s="1"/>
  <c r="C68" i="83"/>
  <c r="B24" i="55"/>
  <c r="B81" i="55" s="1"/>
  <c r="C55" i="81"/>
  <c r="D26" i="53" s="1"/>
  <c r="D79" i="53" s="1"/>
  <c r="H34" i="42"/>
  <c r="B62" i="83"/>
  <c r="B90" i="83"/>
  <c r="D58" i="53"/>
  <c r="D111" i="53" s="1"/>
  <c r="D123" i="83"/>
  <c r="K44" i="22"/>
  <c r="K45" i="22" s="1"/>
  <c r="D105" i="83"/>
  <c r="D40" i="53"/>
  <c r="D93" i="53" s="1"/>
  <c r="B27" i="72"/>
  <c r="B51" i="72" s="1"/>
  <c r="C81" i="81"/>
  <c r="I128" i="53"/>
  <c r="H156" i="53"/>
  <c r="H157" i="53"/>
  <c r="H158" i="53"/>
  <c r="H159" i="53"/>
  <c r="B43" i="55"/>
  <c r="B100" i="55" s="1"/>
  <c r="C54" i="83"/>
  <c r="B38" i="55"/>
  <c r="B95" i="55" s="1"/>
  <c r="C49" i="83"/>
  <c r="B28" i="55"/>
  <c r="B85" i="55" s="1"/>
  <c r="C59" i="81"/>
  <c r="D30" i="53" s="1"/>
  <c r="B48" i="72"/>
  <c r="C78" i="81"/>
  <c r="D126" i="83"/>
  <c r="D61" i="53"/>
  <c r="D114" i="53" s="1"/>
  <c r="G87" i="53"/>
  <c r="G113" i="81"/>
  <c r="D122" i="83"/>
  <c r="D57" i="53"/>
  <c r="D110" i="53" s="1"/>
  <c r="C93" i="83"/>
  <c r="B46" i="72"/>
  <c r="C76" i="81"/>
  <c r="D42" i="81"/>
  <c r="C11" i="55"/>
  <c r="C13" i="84" s="1"/>
  <c r="C33" i="84" s="1"/>
  <c r="B89" i="83"/>
  <c r="B61" i="83"/>
  <c r="D69" i="53"/>
  <c r="D95" i="81"/>
  <c r="D112" i="81"/>
  <c r="D86" i="53"/>
  <c r="D106" i="81"/>
  <c r="C46" i="22"/>
  <c r="D43" i="22" s="1"/>
  <c r="D46" i="22" s="1"/>
  <c r="E43" i="22" s="1"/>
  <c r="E46" i="22" s="1"/>
  <c r="F43" i="22" s="1"/>
  <c r="F46" i="22" s="1"/>
  <c r="G43" i="22" s="1"/>
  <c r="G46" i="22" s="1"/>
  <c r="H43" i="22" s="1"/>
  <c r="H46" i="22" s="1"/>
  <c r="I43" i="22" s="1"/>
  <c r="I46" i="22" s="1"/>
  <c r="B151" i="55"/>
  <c r="D210" i="55" s="1"/>
  <c r="D264" i="55"/>
  <c r="B39" i="55"/>
  <c r="B96" i="55" s="1"/>
  <c r="C50" i="83"/>
  <c r="B83" i="83"/>
  <c r="B55" i="83"/>
  <c r="B27" i="55"/>
  <c r="B84" i="55" s="1"/>
  <c r="C58" i="81"/>
  <c r="D29" i="53" s="1"/>
  <c r="D82" i="53" s="1"/>
  <c r="B26" i="55"/>
  <c r="B83" i="55" s="1"/>
  <c r="C57" i="81"/>
  <c r="D28" i="53" s="1"/>
  <c r="D81" i="53" s="1"/>
  <c r="B56" i="55"/>
  <c r="B113" i="55" s="1"/>
  <c r="C67" i="83"/>
  <c r="C92" i="83"/>
  <c r="B31" i="72"/>
  <c r="B55" i="72" s="1"/>
  <c r="C85" i="81"/>
  <c r="I22" i="22"/>
  <c r="I18" i="22"/>
  <c r="I19" i="22"/>
  <c r="I20" i="22"/>
  <c r="I16" i="22"/>
  <c r="I21" i="22"/>
  <c r="I11" i="22"/>
  <c r="I10" i="22"/>
  <c r="I8" i="22"/>
  <c r="I9" i="22"/>
  <c r="J4" i="22"/>
  <c r="I14" i="22"/>
  <c r="I15" i="22"/>
  <c r="I12" i="22"/>
  <c r="I13" i="22"/>
  <c r="D106" i="83"/>
  <c r="D41" i="53"/>
  <c r="D94" i="53" s="1"/>
  <c r="B23" i="72"/>
  <c r="B47" i="72" s="1"/>
  <c r="C77" i="81"/>
  <c r="C11" i="21"/>
  <c r="F59" i="48"/>
  <c r="B87" i="83"/>
  <c r="B59" i="83"/>
  <c r="D104" i="81"/>
  <c r="D78" i="53"/>
  <c r="D54" i="53"/>
  <c r="D107" i="53" s="1"/>
  <c r="D119" i="83"/>
  <c r="C79" i="83"/>
  <c r="C42" i="84"/>
  <c r="D97" i="83"/>
  <c r="D110" i="83"/>
  <c r="D45" i="53"/>
  <c r="D98" i="53" s="1"/>
  <c r="D61" i="81"/>
  <c r="E32" i="53" s="1"/>
  <c r="C30" i="55"/>
  <c r="C87" i="55" s="1"/>
  <c r="D101" i="81"/>
  <c r="D75" i="53"/>
  <c r="I39" i="48"/>
  <c r="B58" i="83"/>
  <c r="B86" i="83"/>
  <c r="B23" i="55"/>
  <c r="C54" i="81"/>
  <c r="E125" i="83"/>
  <c r="E60" i="53"/>
  <c r="E113" i="53" s="1"/>
  <c r="B41" i="84"/>
  <c r="C96" i="83"/>
  <c r="B26" i="72"/>
  <c r="B50" i="72" s="1"/>
  <c r="C80" i="81"/>
  <c r="D277" i="55"/>
  <c r="B167" i="55"/>
  <c r="D226" i="55" s="1"/>
  <c r="K58" i="22"/>
  <c r="L55" i="22" s="1"/>
  <c r="L56" i="22" s="1"/>
  <c r="L58" i="22" s="1"/>
  <c r="M55" i="22" s="1"/>
  <c r="K51" i="22"/>
  <c r="D52" i="22"/>
  <c r="K52" i="22"/>
  <c r="D144" i="53" l="1"/>
  <c r="C118" i="53"/>
  <c r="D145" i="53" s="1"/>
  <c r="B80" i="55"/>
  <c r="D245" i="55" s="1"/>
  <c r="B14" i="84"/>
  <c r="E144" i="53"/>
  <c r="D63" i="53"/>
  <c r="D11" i="53" s="1"/>
  <c r="E146" i="53" s="1"/>
  <c r="D140" i="53"/>
  <c r="E15" i="61" s="1"/>
  <c r="J29" i="42"/>
  <c r="J38" i="42"/>
  <c r="G30" i="21"/>
  <c r="G10" i="21"/>
  <c r="J36" i="61" s="1"/>
  <c r="D119" i="53"/>
  <c r="E141" i="53"/>
  <c r="D120" i="53"/>
  <c r="E142" i="53"/>
  <c r="D118" i="53"/>
  <c r="E140" i="53"/>
  <c r="B96" i="72"/>
  <c r="B95" i="72"/>
  <c r="B64" i="72"/>
  <c r="B63" i="72"/>
  <c r="D140" i="72" s="1"/>
  <c r="C35" i="55"/>
  <c r="C92" i="55" s="1"/>
  <c r="D46" i="83"/>
  <c r="D76" i="83"/>
  <c r="D80" i="83"/>
  <c r="D257" i="55"/>
  <c r="B144" i="55"/>
  <c r="D203" i="55" s="1"/>
  <c r="J49" i="48"/>
  <c r="C41" i="55"/>
  <c r="C98" i="55" s="1"/>
  <c r="D52" i="83"/>
  <c r="I221" i="55"/>
  <c r="I199" i="55"/>
  <c r="J172" i="55"/>
  <c r="I222" i="55"/>
  <c r="I294" i="55"/>
  <c r="I301" i="55" s="1"/>
  <c r="G28" i="21" s="1"/>
  <c r="I254" i="55"/>
  <c r="I280" i="55"/>
  <c r="I279" i="55"/>
  <c r="I223" i="55"/>
  <c r="I255" i="55"/>
  <c r="E102" i="83"/>
  <c r="E37" i="53"/>
  <c r="E90" i="53" s="1"/>
  <c r="D263" i="55"/>
  <c r="B150" i="55"/>
  <c r="D209" i="55" s="1"/>
  <c r="E39" i="53"/>
  <c r="E92" i="53" s="1"/>
  <c r="E104" i="83"/>
  <c r="D259" i="55"/>
  <c r="B146" i="55"/>
  <c r="D205" i="55" s="1"/>
  <c r="E108" i="83"/>
  <c r="E43" i="53"/>
  <c r="E96" i="53" s="1"/>
  <c r="C37" i="55"/>
  <c r="C94" i="55" s="1"/>
  <c r="D48" i="83"/>
  <c r="B124" i="55"/>
  <c r="D182" i="55" s="1"/>
  <c r="D237" i="55"/>
  <c r="C15" i="55"/>
  <c r="C72" i="55" s="1"/>
  <c r="D46" i="81"/>
  <c r="E17" i="53" s="1"/>
  <c r="E70" i="53" s="1"/>
  <c r="D153" i="72"/>
  <c r="F96" i="81"/>
  <c r="E92" i="81"/>
  <c r="E66" i="53"/>
  <c r="C14" i="72"/>
  <c r="C38" i="72" s="1"/>
  <c r="D68" i="81"/>
  <c r="E67" i="53"/>
  <c r="E93" i="81"/>
  <c r="B126" i="55"/>
  <c r="D184" i="55" s="1"/>
  <c r="D239" i="55"/>
  <c r="D75" i="81"/>
  <c r="C21" i="72"/>
  <c r="C45" i="72" s="1"/>
  <c r="D48" i="81"/>
  <c r="E19" i="53" s="1"/>
  <c r="C17" i="55"/>
  <c r="C74" i="55" s="1"/>
  <c r="C19" i="55"/>
  <c r="C76" i="55" s="1"/>
  <c r="D50" i="81"/>
  <c r="E21" i="53" s="1"/>
  <c r="B128" i="55"/>
  <c r="D186" i="55" s="1"/>
  <c r="D241" i="55"/>
  <c r="D235" i="55"/>
  <c r="B122" i="55"/>
  <c r="D180" i="55" s="1"/>
  <c r="E72" i="53"/>
  <c r="E98" i="81"/>
  <c r="D43" i="81"/>
  <c r="C12" i="55"/>
  <c r="C69" i="55" s="1"/>
  <c r="E94" i="81"/>
  <c r="B79" i="72"/>
  <c r="D154" i="72"/>
  <c r="B78" i="72"/>
  <c r="D141" i="72" s="1"/>
  <c r="D47" i="81"/>
  <c r="E18" i="53" s="1"/>
  <c r="C16" i="55"/>
  <c r="C73" i="55" s="1"/>
  <c r="E71" i="53"/>
  <c r="E97" i="81"/>
  <c r="D69" i="81"/>
  <c r="C39" i="72"/>
  <c r="C13" i="55"/>
  <c r="C70" i="55" s="1"/>
  <c r="D44" i="81"/>
  <c r="E15" i="53" s="1"/>
  <c r="D234" i="55"/>
  <c r="B121" i="55"/>
  <c r="D179" i="55" s="1"/>
  <c r="C18" i="72"/>
  <c r="C42" i="72" s="1"/>
  <c r="D72" i="81"/>
  <c r="D73" i="81"/>
  <c r="C19" i="72"/>
  <c r="C43" i="72" s="1"/>
  <c r="D238" i="55"/>
  <c r="B125" i="55"/>
  <c r="D183" i="55" s="1"/>
  <c r="K64" i="22"/>
  <c r="L61" i="22" s="1"/>
  <c r="B35" i="84"/>
  <c r="C87" i="83"/>
  <c r="D248" i="55"/>
  <c r="B135" i="55"/>
  <c r="D193" i="55" s="1"/>
  <c r="E252" i="55"/>
  <c r="C139" i="55"/>
  <c r="E197" i="55" s="1"/>
  <c r="D140" i="29"/>
  <c r="D35" i="29"/>
  <c r="D155" i="29"/>
  <c r="D125" i="29"/>
  <c r="D170" i="29"/>
  <c r="C83" i="83"/>
  <c r="D79" i="83"/>
  <c r="E95" i="81"/>
  <c r="D49" i="83"/>
  <c r="C38" i="55"/>
  <c r="C95" i="55" s="1"/>
  <c r="B51" i="55"/>
  <c r="B108" i="55" s="1"/>
  <c r="C62" i="83"/>
  <c r="F35" i="29"/>
  <c r="F170" i="29"/>
  <c r="F140" i="29"/>
  <c r="F155" i="29"/>
  <c r="F125" i="29"/>
  <c r="B127" i="55"/>
  <c r="D185" i="55" s="1"/>
  <c r="D240" i="55"/>
  <c r="D117" i="83"/>
  <c r="D52" i="53"/>
  <c r="D105" i="53" s="1"/>
  <c r="D58" i="55"/>
  <c r="D115" i="55" s="1"/>
  <c r="E69" i="83"/>
  <c r="C85" i="83"/>
  <c r="D77" i="83"/>
  <c r="E76" i="53"/>
  <c r="E102" i="81"/>
  <c r="D82" i="81"/>
  <c r="C28" i="72"/>
  <c r="C52" i="72" s="1"/>
  <c r="E170" i="29"/>
  <c r="E140" i="29"/>
  <c r="E35" i="29"/>
  <c r="E125" i="29"/>
  <c r="E155" i="29"/>
  <c r="B93" i="55"/>
  <c r="E107" i="81"/>
  <c r="D80" i="81"/>
  <c r="C26" i="72"/>
  <c r="C50" i="72" s="1"/>
  <c r="B34" i="84"/>
  <c r="D84" i="84" s="1"/>
  <c r="C86" i="83"/>
  <c r="F11" i="21"/>
  <c r="D30" i="55"/>
  <c r="D87" i="55" s="1"/>
  <c r="E61" i="81"/>
  <c r="F32" i="53" s="1"/>
  <c r="E106" i="83"/>
  <c r="E41" i="53"/>
  <c r="E94" i="53" s="1"/>
  <c r="J19" i="22"/>
  <c r="J20" i="22"/>
  <c r="J16" i="22"/>
  <c r="J21" i="22"/>
  <c r="J22" i="22"/>
  <c r="J18" i="22"/>
  <c r="K4" i="22"/>
  <c r="J14" i="22"/>
  <c r="J12" i="22"/>
  <c r="J10" i="22"/>
  <c r="J9" i="22"/>
  <c r="J8" i="22"/>
  <c r="J15" i="22"/>
  <c r="J11" i="22"/>
  <c r="J13" i="22"/>
  <c r="D58" i="81"/>
  <c r="E29" i="53" s="1"/>
  <c r="E82" i="53" s="1"/>
  <c r="C27" i="55"/>
  <c r="C84" i="55" s="1"/>
  <c r="E42" i="81"/>
  <c r="D11" i="55"/>
  <c r="D13" i="84" s="1"/>
  <c r="D33" i="84" s="1"/>
  <c r="D76" i="81"/>
  <c r="C46" i="72"/>
  <c r="E122" i="83"/>
  <c r="E57" i="53"/>
  <c r="E110" i="53" s="1"/>
  <c r="E61" i="53"/>
  <c r="E114" i="53" s="1"/>
  <c r="E126" i="83"/>
  <c r="B147" i="55"/>
  <c r="D206" i="55" s="1"/>
  <c r="D260" i="55"/>
  <c r="D54" i="83"/>
  <c r="C43" i="55"/>
  <c r="C100" i="55" s="1"/>
  <c r="D81" i="81"/>
  <c r="C27" i="72"/>
  <c r="C51" i="72" s="1"/>
  <c r="E58" i="53"/>
  <c r="E111" i="53" s="1"/>
  <c r="E123" i="83"/>
  <c r="F20" i="21"/>
  <c r="I49" i="61" s="1"/>
  <c r="H45" i="42"/>
  <c r="H47" i="42" s="1"/>
  <c r="H49" i="42" s="1"/>
  <c r="C57" i="55"/>
  <c r="C114" i="55" s="1"/>
  <c r="D68" i="83"/>
  <c r="D79" i="81"/>
  <c r="C49" i="72"/>
  <c r="D51" i="83"/>
  <c r="C40" i="55"/>
  <c r="C97" i="55" s="1"/>
  <c r="D82" i="83"/>
  <c r="B45" i="55"/>
  <c r="B102" i="55" s="1"/>
  <c r="C56" i="83"/>
  <c r="D78" i="83"/>
  <c r="E85" i="53"/>
  <c r="E111" i="81"/>
  <c r="D84" i="81"/>
  <c r="C30" i="72"/>
  <c r="C54" i="72" s="1"/>
  <c r="D94" i="83"/>
  <c r="E103" i="81"/>
  <c r="E110" i="81"/>
  <c r="D70" i="83"/>
  <c r="C59" i="55"/>
  <c r="C116" i="55" s="1"/>
  <c r="C20" i="72"/>
  <c r="C44" i="72" s="1"/>
  <c r="D74" i="81"/>
  <c r="B123" i="55"/>
  <c r="D181" i="55" s="1"/>
  <c r="D236" i="55"/>
  <c r="F60" i="53"/>
  <c r="F113" i="53" s="1"/>
  <c r="F125" i="83"/>
  <c r="E119" i="83"/>
  <c r="E54" i="53"/>
  <c r="E107" i="53" s="1"/>
  <c r="C23" i="72"/>
  <c r="C47" i="72" s="1"/>
  <c r="D77" i="81"/>
  <c r="D249" i="55"/>
  <c r="B136" i="55"/>
  <c r="D194" i="55" s="1"/>
  <c r="D93" i="83"/>
  <c r="D59" i="81"/>
  <c r="E30" i="53" s="1"/>
  <c r="C28" i="55"/>
  <c r="C85" i="55" s="1"/>
  <c r="B148" i="55"/>
  <c r="D207" i="55" s="1"/>
  <c r="D261" i="55"/>
  <c r="E106" i="81"/>
  <c r="C68" i="55"/>
  <c r="I157" i="53"/>
  <c r="J128" i="53"/>
  <c r="I158" i="53"/>
  <c r="I159" i="53"/>
  <c r="I156" i="53"/>
  <c r="D246" i="55"/>
  <c r="B133" i="55"/>
  <c r="D191" i="55" s="1"/>
  <c r="J39" i="48"/>
  <c r="D243" i="55"/>
  <c r="B130" i="55"/>
  <c r="D188" i="55" s="1"/>
  <c r="C84" i="83"/>
  <c r="D111" i="83"/>
  <c r="D46" i="53"/>
  <c r="D99" i="53" s="1"/>
  <c r="B161" i="55"/>
  <c r="D220" i="55" s="1"/>
  <c r="D274" i="55"/>
  <c r="B49" i="55"/>
  <c r="B106" i="55" s="1"/>
  <c r="C60" i="83"/>
  <c r="E59" i="53"/>
  <c r="E112" i="53" s="1"/>
  <c r="E124" i="83"/>
  <c r="D253" i="55"/>
  <c r="B140" i="55"/>
  <c r="D198" i="55" s="1"/>
  <c r="D45" i="81"/>
  <c r="E16" i="53" s="1"/>
  <c r="E69" i="53" s="1"/>
  <c r="C14" i="55"/>
  <c r="C71" i="55" s="1"/>
  <c r="E67" i="81"/>
  <c r="B33" i="55"/>
  <c r="J62" i="55" s="1"/>
  <c r="D67" i="83"/>
  <c r="C56" i="55"/>
  <c r="C113" i="55" s="1"/>
  <c r="D70" i="81"/>
  <c r="C16" i="72"/>
  <c r="C40" i="72" s="1"/>
  <c r="E120" i="83"/>
  <c r="E55" i="53"/>
  <c r="E108" i="53" s="1"/>
  <c r="E108" i="81"/>
  <c r="D98" i="83"/>
  <c r="C43" i="84"/>
  <c r="C37" i="72"/>
  <c r="D233" i="55"/>
  <c r="B120" i="55"/>
  <c r="B47" i="55"/>
  <c r="B104" i="55" s="1"/>
  <c r="C58" i="83"/>
  <c r="E97" i="83"/>
  <c r="D42" i="84"/>
  <c r="E104" i="81"/>
  <c r="E78" i="53"/>
  <c r="D275" i="55"/>
  <c r="B165" i="55"/>
  <c r="D224" i="55" s="1"/>
  <c r="B50" i="55"/>
  <c r="B107" i="55" s="1"/>
  <c r="C61" i="83"/>
  <c r="H87" i="53"/>
  <c r="H113" i="81"/>
  <c r="I87" i="53" s="1"/>
  <c r="D78" i="81"/>
  <c r="C48" i="72"/>
  <c r="D265" i="55"/>
  <c r="B152" i="55"/>
  <c r="D211" i="55" s="1"/>
  <c r="E105" i="83"/>
  <c r="E40" i="53"/>
  <c r="E93" i="53" s="1"/>
  <c r="B166" i="55"/>
  <c r="D225" i="55" s="1"/>
  <c r="D276" i="55"/>
  <c r="G21" i="21"/>
  <c r="J50" i="61" s="1"/>
  <c r="J57" i="48"/>
  <c r="B149" i="55"/>
  <c r="D208" i="55" s="1"/>
  <c r="D262" i="55"/>
  <c r="D56" i="81"/>
  <c r="E27" i="53" s="1"/>
  <c r="E80" i="53" s="1"/>
  <c r="C25" i="55"/>
  <c r="C82" i="55" s="1"/>
  <c r="D53" i="81"/>
  <c r="E24" i="53" s="1"/>
  <c r="E77" i="53" s="1"/>
  <c r="C22" i="55"/>
  <c r="C79" i="55" s="1"/>
  <c r="F21" i="21"/>
  <c r="I50" i="61" s="1"/>
  <c r="I57" i="48"/>
  <c r="I59" i="48" s="1"/>
  <c r="D60" i="81"/>
  <c r="E31" i="53" s="1"/>
  <c r="E84" i="53" s="1"/>
  <c r="C29" i="55"/>
  <c r="C86" i="55" s="1"/>
  <c r="E107" i="83"/>
  <c r="E42" i="53"/>
  <c r="E95" i="53" s="1"/>
  <c r="C40" i="84"/>
  <c r="D95" i="83"/>
  <c r="C29" i="72"/>
  <c r="C53" i="72" s="1"/>
  <c r="D83" i="81"/>
  <c r="B168" i="55"/>
  <c r="D227" i="55" s="1"/>
  <c r="D278" i="55"/>
  <c r="D113" i="83"/>
  <c r="D48" i="53"/>
  <c r="D101" i="53" s="1"/>
  <c r="E81" i="83"/>
  <c r="B40" i="72"/>
  <c r="B32" i="72"/>
  <c r="D75" i="83"/>
  <c r="I34" i="42"/>
  <c r="F44" i="53"/>
  <c r="F97" i="53" s="1"/>
  <c r="F109" i="83"/>
  <c r="E264" i="55"/>
  <c r="C151" i="55"/>
  <c r="E210" i="55" s="1"/>
  <c r="D51" i="81"/>
  <c r="E22" i="53" s="1"/>
  <c r="E75" i="53" s="1"/>
  <c r="C20" i="55"/>
  <c r="C77" i="55" s="1"/>
  <c r="D96" i="83"/>
  <c r="C41" i="84"/>
  <c r="D54" i="81"/>
  <c r="C23" i="55"/>
  <c r="E101" i="81"/>
  <c r="E45" i="53"/>
  <c r="E98" i="53" s="1"/>
  <c r="E110" i="83"/>
  <c r="B48" i="55"/>
  <c r="B105" i="55" s="1"/>
  <c r="C59" i="83"/>
  <c r="D152" i="72"/>
  <c r="D85" i="81"/>
  <c r="C31" i="72"/>
  <c r="C55" i="72" s="1"/>
  <c r="D92" i="83"/>
  <c r="D57" i="81"/>
  <c r="E28" i="53" s="1"/>
  <c r="E81" i="53" s="1"/>
  <c r="C26" i="55"/>
  <c r="C83" i="55" s="1"/>
  <c r="B44" i="55"/>
  <c r="B101" i="55" s="1"/>
  <c r="C55" i="83"/>
  <c r="D50" i="83"/>
  <c r="C39" i="55"/>
  <c r="C96" i="55" s="1"/>
  <c r="E112" i="81"/>
  <c r="B37" i="84"/>
  <c r="C89" i="83"/>
  <c r="B137" i="55"/>
  <c r="D195" i="55" s="1"/>
  <c r="D250" i="55"/>
  <c r="H164" i="53"/>
  <c r="F32" i="21" s="1"/>
  <c r="K46" i="22"/>
  <c r="L43" i="22" s="1"/>
  <c r="B38" i="84"/>
  <c r="C90" i="83"/>
  <c r="D55" i="81"/>
  <c r="E26" i="53" s="1"/>
  <c r="C24" i="55"/>
  <c r="C81" i="55" s="1"/>
  <c r="D49" i="53"/>
  <c r="D102" i="53" s="1"/>
  <c r="D114" i="83"/>
  <c r="K30" i="48"/>
  <c r="K34" i="48"/>
  <c r="K38" i="48"/>
  <c r="K31" i="48"/>
  <c r="K35" i="48"/>
  <c r="K33" i="48"/>
  <c r="K36" i="48"/>
  <c r="K37" i="48"/>
  <c r="K32" i="48"/>
  <c r="K52" i="48"/>
  <c r="K56" i="48" s="1"/>
  <c r="H31" i="21" s="1"/>
  <c r="K44" i="48"/>
  <c r="K43" i="48"/>
  <c r="K28" i="48"/>
  <c r="K29" i="48"/>
  <c r="C18" i="55"/>
  <c r="C75" i="55" s="1"/>
  <c r="D49" i="81"/>
  <c r="E20" i="53" s="1"/>
  <c r="E73" i="53" s="1"/>
  <c r="D50" i="53"/>
  <c r="D103" i="53" s="1"/>
  <c r="D115" i="83"/>
  <c r="D52" i="81"/>
  <c r="C21" i="55"/>
  <c r="C78" i="55" s="1"/>
  <c r="B134" i="55"/>
  <c r="D192" i="55" s="1"/>
  <c r="D247" i="55"/>
  <c r="C167" i="55"/>
  <c r="E226" i="55" s="1"/>
  <c r="E277" i="55"/>
  <c r="C39" i="84"/>
  <c r="D91" i="83"/>
  <c r="D51" i="53"/>
  <c r="D104" i="53" s="1"/>
  <c r="D116" i="83"/>
  <c r="B131" i="55"/>
  <c r="D189" i="55" s="1"/>
  <c r="D244" i="55"/>
  <c r="B46" i="55"/>
  <c r="B103" i="55" s="1"/>
  <c r="C57" i="83"/>
  <c r="B138" i="55"/>
  <c r="D196" i="55" s="1"/>
  <c r="D251" i="55"/>
  <c r="D77" i="84"/>
  <c r="D76" i="84"/>
  <c r="C36" i="55"/>
  <c r="D47" i="83"/>
  <c r="D118" i="83"/>
  <c r="D53" i="53"/>
  <c r="D106" i="53" s="1"/>
  <c r="C52" i="55"/>
  <c r="C109" i="55" s="1"/>
  <c r="D63" i="83"/>
  <c r="B36" i="84"/>
  <c r="C88" i="83"/>
  <c r="E121" i="83"/>
  <c r="E56" i="53"/>
  <c r="E109" i="53" s="1"/>
  <c r="G71" i="81"/>
  <c r="F17" i="72"/>
  <c r="F41" i="72" s="1"/>
  <c r="E79" i="53"/>
  <c r="E105" i="81"/>
  <c r="D62" i="81"/>
  <c r="E33" i="53" s="1"/>
  <c r="E86" i="53" s="1"/>
  <c r="C31" i="55"/>
  <c r="C88" i="55" s="1"/>
  <c r="D112" i="83"/>
  <c r="D47" i="53"/>
  <c r="D100" i="53" s="1"/>
  <c r="J28" i="42"/>
  <c r="J37" i="42"/>
  <c r="H30" i="21" s="1"/>
  <c r="J27" i="42"/>
  <c r="J21" i="42"/>
  <c r="J23" i="42" s="1"/>
  <c r="E103" i="83"/>
  <c r="E38" i="53"/>
  <c r="E91" i="53" s="1"/>
  <c r="E53" i="83"/>
  <c r="D42" i="55"/>
  <c r="D99" i="55" s="1"/>
  <c r="B129" i="55"/>
  <c r="D187" i="55" s="1"/>
  <c r="D242" i="55"/>
  <c r="E99" i="81"/>
  <c r="M56" i="22"/>
  <c r="M58" i="22" s="1"/>
  <c r="N55" i="22" s="1"/>
  <c r="E49" i="22"/>
  <c r="E51" i="22"/>
  <c r="L57" i="22"/>
  <c r="L49" i="22"/>
  <c r="B45" i="84" l="1"/>
  <c r="B62" i="84" s="1"/>
  <c r="D89" i="84" s="1"/>
  <c r="E63" i="53"/>
  <c r="E11" i="53" s="1"/>
  <c r="F146" i="53" s="1"/>
  <c r="D156" i="72"/>
  <c r="D160" i="72"/>
  <c r="B132" i="55"/>
  <c r="D190" i="55" s="1"/>
  <c r="D90" i="84"/>
  <c r="D85" i="84"/>
  <c r="E33" i="84"/>
  <c r="E68" i="53"/>
  <c r="F144" i="53" s="1"/>
  <c r="C80" i="55"/>
  <c r="C14" i="84"/>
  <c r="E145" i="53"/>
  <c r="D88" i="84"/>
  <c r="H169" i="29"/>
  <c r="H154" i="29"/>
  <c r="H34" i="29"/>
  <c r="H139" i="29"/>
  <c r="H124" i="29"/>
  <c r="E120" i="53"/>
  <c r="F142" i="53"/>
  <c r="E118" i="53"/>
  <c r="F145" i="53" s="1"/>
  <c r="E119" i="53"/>
  <c r="F141" i="53"/>
  <c r="C95" i="72"/>
  <c r="C96" i="72"/>
  <c r="C63" i="72"/>
  <c r="C64" i="72"/>
  <c r="F102" i="83"/>
  <c r="F37" i="53"/>
  <c r="F90" i="53" s="1"/>
  <c r="J294" i="55"/>
  <c r="J301" i="55" s="1"/>
  <c r="H28" i="21" s="1"/>
  <c r="J222" i="55"/>
  <c r="J255" i="55"/>
  <c r="J254" i="55"/>
  <c r="J221" i="55"/>
  <c r="J223" i="55"/>
  <c r="J280" i="55"/>
  <c r="J199" i="55"/>
  <c r="J279" i="55"/>
  <c r="E48" i="83"/>
  <c r="D37" i="55"/>
  <c r="D94" i="55" s="1"/>
  <c r="E80" i="83"/>
  <c r="I164" i="53"/>
  <c r="G32" i="21" s="1"/>
  <c r="E259" i="55"/>
  <c r="C146" i="55"/>
  <c r="E205" i="55" s="1"/>
  <c r="F104" i="83"/>
  <c r="F39" i="53"/>
  <c r="F92" i="53" s="1"/>
  <c r="E52" i="83"/>
  <c r="D41" i="55"/>
  <c r="D98" i="55" s="1"/>
  <c r="E76" i="83"/>
  <c r="F43" i="53"/>
  <c r="F96" i="53" s="1"/>
  <c r="F108" i="83"/>
  <c r="E263" i="55"/>
  <c r="C150" i="55"/>
  <c r="E209" i="55" s="1"/>
  <c r="E46" i="83"/>
  <c r="D35" i="55"/>
  <c r="D92" i="55" s="1"/>
  <c r="E257" i="55"/>
  <c r="C144" i="55"/>
  <c r="E203" i="55" s="1"/>
  <c r="E46" i="81"/>
  <c r="F17" i="53" s="1"/>
  <c r="F70" i="53" s="1"/>
  <c r="D15" i="55"/>
  <c r="D72" i="55" s="1"/>
  <c r="C124" i="55"/>
  <c r="E182" i="55" s="1"/>
  <c r="E237" i="55"/>
  <c r="G96" i="81"/>
  <c r="F92" i="81"/>
  <c r="F66" i="53"/>
  <c r="D16" i="55"/>
  <c r="D73" i="55" s="1"/>
  <c r="E47" i="81"/>
  <c r="F18" i="53" s="1"/>
  <c r="F71" i="53" s="1"/>
  <c r="F94" i="81"/>
  <c r="F98" i="81"/>
  <c r="C126" i="55"/>
  <c r="E184" i="55" s="1"/>
  <c r="E239" i="55"/>
  <c r="F67" i="53"/>
  <c r="F93" i="81"/>
  <c r="D18" i="72"/>
  <c r="D42" i="72" s="1"/>
  <c r="E72" i="81"/>
  <c r="E44" i="81"/>
  <c r="F15" i="53" s="1"/>
  <c r="F68" i="53" s="1"/>
  <c r="D13" i="55"/>
  <c r="D70" i="55" s="1"/>
  <c r="F97" i="81"/>
  <c r="E48" i="81"/>
  <c r="F19" i="53" s="1"/>
  <c r="F72" i="53" s="1"/>
  <c r="D17" i="55"/>
  <c r="D74" i="55" s="1"/>
  <c r="D21" i="72"/>
  <c r="D45" i="72" s="1"/>
  <c r="E75" i="81"/>
  <c r="C79" i="72"/>
  <c r="E154" i="72"/>
  <c r="C78" i="72"/>
  <c r="E141" i="72" s="1"/>
  <c r="C122" i="55"/>
  <c r="E180" i="55" s="1"/>
  <c r="E235" i="55"/>
  <c r="E234" i="55"/>
  <c r="C121" i="55"/>
  <c r="E179" i="55" s="1"/>
  <c r="E50" i="81"/>
  <c r="F21" i="53" s="1"/>
  <c r="D19" i="55"/>
  <c r="D76" i="55" s="1"/>
  <c r="D14" i="72"/>
  <c r="D38" i="72" s="1"/>
  <c r="E68" i="81"/>
  <c r="E73" i="81"/>
  <c r="D19" i="72"/>
  <c r="D43" i="72" s="1"/>
  <c r="E69" i="81"/>
  <c r="D39" i="72"/>
  <c r="E238" i="55"/>
  <c r="C125" i="55"/>
  <c r="E183" i="55" s="1"/>
  <c r="E43" i="81"/>
  <c r="D12" i="55"/>
  <c r="D69" i="55" s="1"/>
  <c r="C128" i="55"/>
  <c r="E186" i="55" s="1"/>
  <c r="E241" i="55"/>
  <c r="E153" i="72"/>
  <c r="E140" i="72"/>
  <c r="L62" i="22"/>
  <c r="L63" i="22" s="1"/>
  <c r="F99" i="81"/>
  <c r="F53" i="83"/>
  <c r="E42" i="55"/>
  <c r="E99" i="55" s="1"/>
  <c r="F38" i="53"/>
  <c r="F91" i="53" s="1"/>
  <c r="F103" i="83"/>
  <c r="D133" i="53"/>
  <c r="J34" i="42"/>
  <c r="E62" i="81"/>
  <c r="F33" i="53" s="1"/>
  <c r="D31" i="55"/>
  <c r="D88" i="55" s="1"/>
  <c r="G17" i="72"/>
  <c r="G41" i="72" s="1"/>
  <c r="H71" i="81"/>
  <c r="H17" i="72" s="1"/>
  <c r="H41" i="72" s="1"/>
  <c r="E118" i="83"/>
  <c r="E53" i="53"/>
  <c r="E106" i="53" s="1"/>
  <c r="C93" i="55"/>
  <c r="B155" i="55"/>
  <c r="D214" i="55" s="1"/>
  <c r="D268" i="55"/>
  <c r="K39" i="48"/>
  <c r="E55" i="81"/>
  <c r="F26" i="53" s="1"/>
  <c r="D24" i="55"/>
  <c r="D81" i="55" s="1"/>
  <c r="D89" i="83"/>
  <c r="C37" i="84"/>
  <c r="E261" i="55"/>
  <c r="C148" i="55"/>
  <c r="E207" i="55" s="1"/>
  <c r="E248" i="55"/>
  <c r="C135" i="55"/>
  <c r="E193" i="55" s="1"/>
  <c r="D139" i="72"/>
  <c r="D161" i="72"/>
  <c r="D162" i="72"/>
  <c r="C132" i="55"/>
  <c r="E190" i="55" s="1"/>
  <c r="E245" i="55"/>
  <c r="E51" i="81"/>
  <c r="F22" i="53" s="1"/>
  <c r="D20" i="55"/>
  <c r="D77" i="55" s="1"/>
  <c r="B12" i="72"/>
  <c r="B35" i="72"/>
  <c r="D157" i="72"/>
  <c r="E83" i="81"/>
  <c r="D29" i="72"/>
  <c r="D53" i="72" s="1"/>
  <c r="E53" i="81"/>
  <c r="F24" i="53" s="1"/>
  <c r="D22" i="55"/>
  <c r="D79" i="55" s="1"/>
  <c r="E56" i="81"/>
  <c r="F27" i="53" s="1"/>
  <c r="D25" i="55"/>
  <c r="D82" i="55" s="1"/>
  <c r="F104" i="81"/>
  <c r="F78" i="53"/>
  <c r="B10" i="55"/>
  <c r="B65" i="55"/>
  <c r="D200" i="55" s="1"/>
  <c r="C123" i="55"/>
  <c r="E181" i="55" s="1"/>
  <c r="E236" i="55"/>
  <c r="F124" i="83"/>
  <c r="F59" i="53"/>
  <c r="F112" i="53" s="1"/>
  <c r="E111" i="83"/>
  <c r="E46" i="53"/>
  <c r="E99" i="53" s="1"/>
  <c r="C33" i="55"/>
  <c r="E77" i="81"/>
  <c r="D23" i="72"/>
  <c r="D47" i="72" s="1"/>
  <c r="G125" i="83"/>
  <c r="G60" i="53"/>
  <c r="G113" i="53" s="1"/>
  <c r="C168" i="55"/>
  <c r="E227" i="55" s="1"/>
  <c r="E278" i="55"/>
  <c r="E84" i="81"/>
  <c r="D30" i="72"/>
  <c r="D54" i="72" s="1"/>
  <c r="E78" i="83"/>
  <c r="E82" i="83"/>
  <c r="E79" i="81"/>
  <c r="D49" i="72"/>
  <c r="E265" i="55"/>
  <c r="C152" i="55"/>
  <c r="E211" i="55" s="1"/>
  <c r="E249" i="55"/>
  <c r="C136" i="55"/>
  <c r="E194" i="55" s="1"/>
  <c r="E80" i="81"/>
  <c r="D26" i="72"/>
  <c r="D50" i="72" s="1"/>
  <c r="E117" i="83"/>
  <c r="E52" i="53"/>
  <c r="E105" i="53" s="1"/>
  <c r="D62" i="83"/>
  <c r="C51" i="55"/>
  <c r="C108" i="55" s="1"/>
  <c r="F264" i="55"/>
  <c r="D151" i="55"/>
  <c r="F105" i="81"/>
  <c r="F79" i="53"/>
  <c r="E63" i="83"/>
  <c r="D52" i="55"/>
  <c r="D109" i="55" s="1"/>
  <c r="E91" i="83"/>
  <c r="D39" i="84"/>
  <c r="E243" i="55"/>
  <c r="C130" i="55"/>
  <c r="E188" i="55" s="1"/>
  <c r="E49" i="81"/>
  <c r="F20" i="53" s="1"/>
  <c r="F73" i="53" s="1"/>
  <c r="D18" i="55"/>
  <c r="D75" i="55" s="1"/>
  <c r="K49" i="48"/>
  <c r="E49" i="53"/>
  <c r="E102" i="53" s="1"/>
  <c r="E114" i="83"/>
  <c r="D90" i="83"/>
  <c r="C38" i="84"/>
  <c r="E50" i="83"/>
  <c r="D39" i="55"/>
  <c r="D96" i="55" s="1"/>
  <c r="E57" i="81"/>
  <c r="F28" i="53" s="1"/>
  <c r="D26" i="55"/>
  <c r="D83" i="55" s="1"/>
  <c r="E85" i="81"/>
  <c r="D31" i="72"/>
  <c r="D55" i="72" s="1"/>
  <c r="F101" i="81"/>
  <c r="F75" i="53"/>
  <c r="E54" i="81"/>
  <c r="D23" i="55"/>
  <c r="D132" i="53"/>
  <c r="G109" i="83"/>
  <c r="G44" i="53"/>
  <c r="G97" i="53" s="1"/>
  <c r="G20" i="21"/>
  <c r="J49" i="61" s="1"/>
  <c r="I45" i="42"/>
  <c r="I47" i="42" s="1"/>
  <c r="I49" i="42" s="1"/>
  <c r="B71" i="72"/>
  <c r="B70" i="72"/>
  <c r="D142" i="72" s="1"/>
  <c r="D155" i="72"/>
  <c r="F81" i="83"/>
  <c r="F107" i="83"/>
  <c r="F42" i="53"/>
  <c r="F95" i="53" s="1"/>
  <c r="D58" i="83"/>
  <c r="C47" i="55"/>
  <c r="C104" i="55" s="1"/>
  <c r="D43" i="84"/>
  <c r="E98" i="83"/>
  <c r="F120" i="83"/>
  <c r="F55" i="53"/>
  <c r="F108" i="53" s="1"/>
  <c r="E45" i="81"/>
  <c r="F16" i="53" s="1"/>
  <c r="D14" i="55"/>
  <c r="D71" i="55" s="1"/>
  <c r="E233" i="55"/>
  <c r="C120" i="55"/>
  <c r="E93" i="83"/>
  <c r="E152" i="72"/>
  <c r="F54" i="53"/>
  <c r="F107" i="53" s="1"/>
  <c r="F119" i="83"/>
  <c r="E70" i="83"/>
  <c r="D59" i="55"/>
  <c r="D116" i="55" s="1"/>
  <c r="F85" i="53"/>
  <c r="F111" i="81"/>
  <c r="C45" i="55"/>
  <c r="C102" i="55" s="1"/>
  <c r="D56" i="83"/>
  <c r="C149" i="55"/>
  <c r="E208" i="55" s="1"/>
  <c r="E262" i="55"/>
  <c r="D57" i="55"/>
  <c r="D114" i="55" s="1"/>
  <c r="E68" i="83"/>
  <c r="E54" i="83"/>
  <c r="D43" i="55"/>
  <c r="D100" i="55" s="1"/>
  <c r="F57" i="53"/>
  <c r="F110" i="53" s="1"/>
  <c r="F122" i="83"/>
  <c r="D46" i="72"/>
  <c r="E76" i="81"/>
  <c r="E58" i="81"/>
  <c r="F29" i="53" s="1"/>
  <c r="D27" i="55"/>
  <c r="D84" i="55" s="1"/>
  <c r="G170" i="29"/>
  <c r="G140" i="29"/>
  <c r="G125" i="29"/>
  <c r="G155" i="29"/>
  <c r="G35" i="29"/>
  <c r="B61" i="55"/>
  <c r="E82" i="81"/>
  <c r="D28" i="72"/>
  <c r="D52" i="72" s="1"/>
  <c r="E77" i="83"/>
  <c r="E58" i="55"/>
  <c r="E115" i="55" s="1"/>
  <c r="F69" i="83"/>
  <c r="B160" i="55"/>
  <c r="D219" i="55" s="1"/>
  <c r="D273" i="55"/>
  <c r="E260" i="55"/>
  <c r="C147" i="55"/>
  <c r="E206" i="55" s="1"/>
  <c r="D83" i="83"/>
  <c r="F121" i="83"/>
  <c r="F56" i="53"/>
  <c r="F109" i="53" s="1"/>
  <c r="E52" i="81"/>
  <c r="D21" i="55"/>
  <c r="D78" i="55" s="1"/>
  <c r="E240" i="55"/>
  <c r="C127" i="55"/>
  <c r="E185" i="55" s="1"/>
  <c r="C44" i="55"/>
  <c r="C101" i="55" s="1"/>
  <c r="D55" i="83"/>
  <c r="D59" i="83"/>
  <c r="C48" i="55"/>
  <c r="C105" i="55" s="1"/>
  <c r="F110" i="83"/>
  <c r="F45" i="53"/>
  <c r="F98" i="53" s="1"/>
  <c r="E95" i="83"/>
  <c r="D40" i="84"/>
  <c r="C138" i="55"/>
  <c r="E196" i="55" s="1"/>
  <c r="E251" i="55"/>
  <c r="D61" i="83"/>
  <c r="C50" i="55"/>
  <c r="C107" i="55" s="1"/>
  <c r="F97" i="83"/>
  <c r="E42" i="84"/>
  <c r="B156" i="55"/>
  <c r="D215" i="55" s="1"/>
  <c r="D269" i="55"/>
  <c r="C32" i="72"/>
  <c r="E156" i="72" s="1"/>
  <c r="C71" i="72"/>
  <c r="E155" i="72"/>
  <c r="C70" i="72"/>
  <c r="C165" i="55"/>
  <c r="E224" i="55" s="1"/>
  <c r="E275" i="55"/>
  <c r="D37" i="72"/>
  <c r="C49" i="55"/>
  <c r="C106" i="55" s="1"/>
  <c r="D60" i="83"/>
  <c r="J158" i="53"/>
  <c r="J159" i="53"/>
  <c r="J156" i="53"/>
  <c r="J157" i="53"/>
  <c r="E250" i="55"/>
  <c r="C137" i="55"/>
  <c r="E195" i="55" s="1"/>
  <c r="D134" i="53"/>
  <c r="E74" i="81"/>
  <c r="D20" i="72"/>
  <c r="D44" i="72" s="1"/>
  <c r="E94" i="83"/>
  <c r="B154" i="55"/>
  <c r="D213" i="55" s="1"/>
  <c r="D267" i="55"/>
  <c r="E51" i="83"/>
  <c r="D40" i="55"/>
  <c r="D97" i="55" s="1"/>
  <c r="C166" i="55"/>
  <c r="E225" i="55" s="1"/>
  <c r="E276" i="55"/>
  <c r="F123" i="83"/>
  <c r="F58" i="53"/>
  <c r="F111" i="53" s="1"/>
  <c r="F61" i="53"/>
  <c r="F114" i="53" s="1"/>
  <c r="F126" i="83"/>
  <c r="D68" i="55"/>
  <c r="K20" i="22"/>
  <c r="K16" i="22"/>
  <c r="K21" i="22"/>
  <c r="K22" i="22"/>
  <c r="K18" i="22"/>
  <c r="K19" i="22"/>
  <c r="K15" i="22"/>
  <c r="K9" i="22"/>
  <c r="K14" i="22"/>
  <c r="K13" i="22"/>
  <c r="K8" i="22"/>
  <c r="K12" i="22"/>
  <c r="K10" i="22"/>
  <c r="K11" i="22"/>
  <c r="E30" i="55"/>
  <c r="E87" i="55" s="1"/>
  <c r="F61" i="81"/>
  <c r="G32" i="53" s="1"/>
  <c r="F81" i="53"/>
  <c r="F107" i="81"/>
  <c r="D258" i="55"/>
  <c r="B145" i="55"/>
  <c r="D204" i="55" s="1"/>
  <c r="F102" i="81"/>
  <c r="F76" i="53"/>
  <c r="D85" i="83"/>
  <c r="F277" i="55"/>
  <c r="D167" i="55"/>
  <c r="E49" i="83"/>
  <c r="D38" i="55"/>
  <c r="D95" i="55" s="1"/>
  <c r="F69" i="53"/>
  <c r="F95" i="81"/>
  <c r="E79" i="83"/>
  <c r="D87" i="83"/>
  <c r="C35" i="84"/>
  <c r="E47" i="53"/>
  <c r="E100" i="53" s="1"/>
  <c r="E112" i="83"/>
  <c r="C161" i="55"/>
  <c r="E220" i="55" s="1"/>
  <c r="E274" i="55"/>
  <c r="H10" i="21"/>
  <c r="K36" i="61" s="1"/>
  <c r="B28" i="84"/>
  <c r="I62" i="55" s="1"/>
  <c r="E253" i="55"/>
  <c r="C140" i="55"/>
  <c r="E198" i="55" s="1"/>
  <c r="D88" i="83"/>
  <c r="C36" i="84"/>
  <c r="D36" i="55"/>
  <c r="E47" i="83"/>
  <c r="D75" i="84"/>
  <c r="D80" i="84" s="1"/>
  <c r="D57" i="83"/>
  <c r="C46" i="55"/>
  <c r="C103" i="55" s="1"/>
  <c r="E116" i="83"/>
  <c r="E51" i="53"/>
  <c r="E104" i="53" s="1"/>
  <c r="E115" i="83"/>
  <c r="E50" i="53"/>
  <c r="E103" i="53" s="1"/>
  <c r="E246" i="55"/>
  <c r="C133" i="55"/>
  <c r="E191" i="55" s="1"/>
  <c r="L44" i="22"/>
  <c r="L45" i="22" s="1"/>
  <c r="F112" i="81"/>
  <c r="F86" i="53"/>
  <c r="D266" i="55"/>
  <c r="B153" i="55"/>
  <c r="D212" i="55" s="1"/>
  <c r="E92" i="83"/>
  <c r="B157" i="55"/>
  <c r="D216" i="55" s="1"/>
  <c r="D270" i="55"/>
  <c r="E96" i="83"/>
  <c r="D41" i="84"/>
  <c r="E242" i="55"/>
  <c r="C129" i="55"/>
  <c r="E187" i="55" s="1"/>
  <c r="E75" i="83"/>
  <c r="E113" i="83"/>
  <c r="E48" i="53"/>
  <c r="E101" i="53" s="1"/>
  <c r="E77" i="84"/>
  <c r="E76" i="84"/>
  <c r="E60" i="81"/>
  <c r="F31" i="53" s="1"/>
  <c r="D29" i="55"/>
  <c r="D86" i="55" s="1"/>
  <c r="E244" i="55"/>
  <c r="C131" i="55"/>
  <c r="E189" i="55" s="1"/>
  <c r="C134" i="55"/>
  <c r="E192" i="55" s="1"/>
  <c r="E247" i="55"/>
  <c r="F105" i="83"/>
  <c r="F40" i="53"/>
  <c r="F93" i="53" s="1"/>
  <c r="E78" i="81"/>
  <c r="D48" i="72"/>
  <c r="B159" i="55"/>
  <c r="D218" i="55" s="1"/>
  <c r="D272" i="55"/>
  <c r="D285" i="55"/>
  <c r="D178" i="55"/>
  <c r="D284" i="55"/>
  <c r="F108" i="81"/>
  <c r="F82" i="53"/>
  <c r="D16" i="72"/>
  <c r="D40" i="72" s="1"/>
  <c r="E70" i="81"/>
  <c r="D56" i="55"/>
  <c r="D113" i="55" s="1"/>
  <c r="E67" i="83"/>
  <c r="F67" i="81"/>
  <c r="D271" i="55"/>
  <c r="B158" i="55"/>
  <c r="D217" i="55" s="1"/>
  <c r="D84" i="83"/>
  <c r="G11" i="21"/>
  <c r="J59" i="48"/>
  <c r="F80" i="53"/>
  <c r="F106" i="81"/>
  <c r="E59" i="81"/>
  <c r="F30" i="53" s="1"/>
  <c r="D28" i="55"/>
  <c r="D85" i="55" s="1"/>
  <c r="F110" i="81"/>
  <c r="F84" i="53"/>
  <c r="F77" i="53"/>
  <c r="F103" i="81"/>
  <c r="D27" i="72"/>
  <c r="D51" i="72" s="1"/>
  <c r="E81" i="81"/>
  <c r="E11" i="55"/>
  <c r="E13" i="84" s="1"/>
  <c r="F42" i="81"/>
  <c r="F41" i="53"/>
  <c r="F94" i="53" s="1"/>
  <c r="F106" i="83"/>
  <c r="F252" i="55"/>
  <c r="D139" i="55"/>
  <c r="F197" i="55" s="1"/>
  <c r="C34" i="84"/>
  <c r="D86" i="83"/>
  <c r="M57" i="22"/>
  <c r="F51" i="22"/>
  <c r="L50" i="22"/>
  <c r="L52" i="22" s="1"/>
  <c r="E52" i="22"/>
  <c r="N56" i="22"/>
  <c r="F63" i="53" l="1"/>
  <c r="F11" i="53" s="1"/>
  <c r="G146" i="53" s="1"/>
  <c r="F140" i="53"/>
  <c r="D80" i="55"/>
  <c r="D14" i="84"/>
  <c r="D34" i="84" s="1"/>
  <c r="E85" i="84"/>
  <c r="E84" i="84"/>
  <c r="E88" i="84"/>
  <c r="C45" i="84"/>
  <c r="C62" i="84" s="1"/>
  <c r="E89" i="84" s="1"/>
  <c r="E90" i="84"/>
  <c r="G144" i="53"/>
  <c r="F118" i="53"/>
  <c r="G140" i="53"/>
  <c r="F120" i="53"/>
  <c r="G142" i="53"/>
  <c r="F119" i="53"/>
  <c r="G141" i="53"/>
  <c r="J164" i="53"/>
  <c r="H32" i="21" s="1"/>
  <c r="D95" i="72"/>
  <c r="D96" i="72"/>
  <c r="D63" i="72"/>
  <c r="F140" i="72" s="1"/>
  <c r="D64" i="72"/>
  <c r="E142" i="72"/>
  <c r="G104" i="83"/>
  <c r="G39" i="53"/>
  <c r="G92" i="53" s="1"/>
  <c r="G43" i="53"/>
  <c r="G96" i="53" s="1"/>
  <c r="G108" i="83"/>
  <c r="F259" i="55"/>
  <c r="D146" i="55"/>
  <c r="F205" i="55" s="1"/>
  <c r="E37" i="55"/>
  <c r="E94" i="55" s="1"/>
  <c r="F48" i="83"/>
  <c r="D144" i="55"/>
  <c r="F203" i="55" s="1"/>
  <c r="F257" i="55"/>
  <c r="E35" i="55"/>
  <c r="E92" i="55" s="1"/>
  <c r="F46" i="83"/>
  <c r="F76" i="83"/>
  <c r="F263" i="55"/>
  <c r="D150" i="55"/>
  <c r="F209" i="55" s="1"/>
  <c r="G102" i="83"/>
  <c r="G37" i="53"/>
  <c r="G90" i="53" s="1"/>
  <c r="E41" i="55"/>
  <c r="E98" i="55" s="1"/>
  <c r="F52" i="83"/>
  <c r="F80" i="83"/>
  <c r="D229" i="55"/>
  <c r="B8" i="21" s="1"/>
  <c r="E34" i="61" s="1"/>
  <c r="D124" i="55"/>
  <c r="F182" i="55" s="1"/>
  <c r="F237" i="55"/>
  <c r="E15" i="55"/>
  <c r="E72" i="55" s="1"/>
  <c r="F46" i="81"/>
  <c r="G17" i="53" s="1"/>
  <c r="G70" i="53" s="1"/>
  <c r="H96" i="81"/>
  <c r="G66" i="53"/>
  <c r="G92" i="81"/>
  <c r="E19" i="55"/>
  <c r="E76" i="55" s="1"/>
  <c r="F50" i="81"/>
  <c r="G21" i="53" s="1"/>
  <c r="E21" i="72"/>
  <c r="E45" i="72" s="1"/>
  <c r="F75" i="81"/>
  <c r="F72" i="81"/>
  <c r="E18" i="72"/>
  <c r="E42" i="72" s="1"/>
  <c r="G94" i="81"/>
  <c r="D136" i="53"/>
  <c r="B12" i="21" s="1"/>
  <c r="E38" i="61" s="1"/>
  <c r="F234" i="55"/>
  <c r="D121" i="55"/>
  <c r="F179" i="55" s="1"/>
  <c r="F68" i="81"/>
  <c r="E14" i="72"/>
  <c r="E38" i="72" s="1"/>
  <c r="G97" i="81"/>
  <c r="D78" i="72"/>
  <c r="F141" i="72" s="1"/>
  <c r="D79" i="72"/>
  <c r="F154" i="72"/>
  <c r="F73" i="81"/>
  <c r="E19" i="72"/>
  <c r="E43" i="72" s="1"/>
  <c r="E12" i="55"/>
  <c r="E69" i="55" s="1"/>
  <c r="F43" i="81"/>
  <c r="F69" i="81"/>
  <c r="E39" i="72"/>
  <c r="F153" i="72"/>
  <c r="D126" i="55"/>
  <c r="F184" i="55" s="1"/>
  <c r="F239" i="55"/>
  <c r="D122" i="55"/>
  <c r="F180" i="55" s="1"/>
  <c r="F235" i="55"/>
  <c r="G67" i="53"/>
  <c r="G93" i="81"/>
  <c r="F47" i="81"/>
  <c r="G18" i="53" s="1"/>
  <c r="G71" i="53" s="1"/>
  <c r="E16" i="55"/>
  <c r="E73" i="55" s="1"/>
  <c r="D128" i="55"/>
  <c r="F186" i="55" s="1"/>
  <c r="F241" i="55"/>
  <c r="F48" i="81"/>
  <c r="G19" i="53" s="1"/>
  <c r="G72" i="53" s="1"/>
  <c r="E17" i="55"/>
  <c r="E74" i="55" s="1"/>
  <c r="E13" i="55"/>
  <c r="E70" i="55" s="1"/>
  <c r="F44" i="81"/>
  <c r="G15" i="53" s="1"/>
  <c r="G98" i="81"/>
  <c r="D125" i="55"/>
  <c r="F183" i="55" s="1"/>
  <c r="F238" i="55"/>
  <c r="L64" i="22"/>
  <c r="M61" i="22" s="1"/>
  <c r="M62" i="22" s="1"/>
  <c r="M63" i="22" s="1"/>
  <c r="E37" i="72"/>
  <c r="E68" i="55"/>
  <c r="H155" i="29"/>
  <c r="H170" i="29"/>
  <c r="H35" i="29"/>
  <c r="H140" i="29"/>
  <c r="H125" i="29"/>
  <c r="F275" i="55"/>
  <c r="D165" i="55"/>
  <c r="F224" i="55" s="1"/>
  <c r="G108" i="81"/>
  <c r="L46" i="22"/>
  <c r="M43" i="22" s="1"/>
  <c r="C155" i="55"/>
  <c r="E214" i="55" s="1"/>
  <c r="E268" i="55"/>
  <c r="B13" i="21"/>
  <c r="E39" i="61" s="1"/>
  <c r="G76" i="53"/>
  <c r="G102" i="81"/>
  <c r="D33" i="55"/>
  <c r="G126" i="83"/>
  <c r="G61" i="53"/>
  <c r="G114" i="53" s="1"/>
  <c r="D32" i="72"/>
  <c r="F156" i="72" s="1"/>
  <c r="C28" i="84"/>
  <c r="E55" i="83"/>
  <c r="D44" i="55"/>
  <c r="D101" i="55" s="1"/>
  <c r="F77" i="83"/>
  <c r="E132" i="53"/>
  <c r="F276" i="55"/>
  <c r="D166" i="55"/>
  <c r="F225" i="55" s="1"/>
  <c r="E267" i="55"/>
  <c r="C154" i="55"/>
  <c r="E213" i="55" s="1"/>
  <c r="E59" i="55"/>
  <c r="E116" i="55" s="1"/>
  <c r="F70" i="83"/>
  <c r="E178" i="55"/>
  <c r="E284" i="55"/>
  <c r="E285" i="55"/>
  <c r="F45" i="81"/>
  <c r="G16" i="53" s="1"/>
  <c r="E14" i="55"/>
  <c r="E71" i="55" s="1"/>
  <c r="G42" i="53"/>
  <c r="G95" i="53" s="1"/>
  <c r="G107" i="83"/>
  <c r="D135" i="55"/>
  <c r="F193" i="55" s="1"/>
  <c r="F248" i="55"/>
  <c r="F114" i="83"/>
  <c r="F49" i="53"/>
  <c r="F102" i="53" s="1"/>
  <c r="F49" i="81"/>
  <c r="G20" i="53" s="1"/>
  <c r="E18" i="55"/>
  <c r="E75" i="55" s="1"/>
  <c r="E62" i="83"/>
  <c r="D51" i="55"/>
  <c r="D108" i="55" s="1"/>
  <c r="F117" i="83"/>
  <c r="F52" i="53"/>
  <c r="F105" i="53" s="1"/>
  <c r="E134" i="53"/>
  <c r="F152" i="72"/>
  <c r="F46" i="53"/>
  <c r="F99" i="53" s="1"/>
  <c r="F111" i="83"/>
  <c r="G124" i="83"/>
  <c r="G59" i="53"/>
  <c r="G112" i="53" s="1"/>
  <c r="D282" i="55"/>
  <c r="D283" i="55"/>
  <c r="F247" i="55"/>
  <c r="D134" i="55"/>
  <c r="F192" i="55" s="1"/>
  <c r="D158" i="72"/>
  <c r="D159" i="72"/>
  <c r="H11" i="21"/>
  <c r="C145" i="55"/>
  <c r="E204" i="55" s="1"/>
  <c r="E258" i="55"/>
  <c r="G264" i="55"/>
  <c r="E151" i="55"/>
  <c r="G210" i="55" s="1"/>
  <c r="F250" i="55"/>
  <c r="D137" i="55"/>
  <c r="F195" i="55" s="1"/>
  <c r="G67" i="81"/>
  <c r="F70" i="81"/>
  <c r="E16" i="72"/>
  <c r="E40" i="72" s="1"/>
  <c r="G40" i="53"/>
  <c r="G93" i="53" s="1"/>
  <c r="G105" i="83"/>
  <c r="F92" i="83"/>
  <c r="G112" i="81"/>
  <c r="F115" i="83"/>
  <c r="F50" i="53"/>
  <c r="F103" i="53" s="1"/>
  <c r="D46" i="55"/>
  <c r="D103" i="55" s="1"/>
  <c r="E57" i="83"/>
  <c r="F47" i="83"/>
  <c r="E36" i="55"/>
  <c r="B12" i="84"/>
  <c r="B31" i="84"/>
  <c r="F79" i="83"/>
  <c r="F260" i="55"/>
  <c r="D147" i="55"/>
  <c r="F206" i="55" s="1"/>
  <c r="G61" i="81"/>
  <c r="H32" i="53" s="1"/>
  <c r="F30" i="55"/>
  <c r="F87" i="55" s="1"/>
  <c r="F233" i="55"/>
  <c r="D120" i="55"/>
  <c r="F94" i="83"/>
  <c r="F74" i="81"/>
  <c r="E20" i="72"/>
  <c r="E44" i="72" s="1"/>
  <c r="C12" i="72"/>
  <c r="E157" i="72"/>
  <c r="C35" i="72"/>
  <c r="G97" i="83"/>
  <c r="F42" i="84"/>
  <c r="G110" i="83"/>
  <c r="G45" i="53"/>
  <c r="G98" i="53" s="1"/>
  <c r="C153" i="55"/>
  <c r="E212" i="55" s="1"/>
  <c r="E266" i="55"/>
  <c r="F58" i="55"/>
  <c r="F115" i="55" s="1"/>
  <c r="G69" i="83"/>
  <c r="D136" i="55"/>
  <c r="F194" i="55" s="1"/>
  <c r="F249" i="55"/>
  <c r="E46" i="72"/>
  <c r="F76" i="81"/>
  <c r="F265" i="55"/>
  <c r="D152" i="55"/>
  <c r="F211" i="55" s="1"/>
  <c r="G111" i="81"/>
  <c r="G85" i="53"/>
  <c r="G54" i="53"/>
  <c r="G107" i="53" s="1"/>
  <c r="G119" i="83"/>
  <c r="E139" i="72"/>
  <c r="E162" i="72"/>
  <c r="E161" i="72"/>
  <c r="E144" i="72"/>
  <c r="G55" i="53"/>
  <c r="G108" i="53" s="1"/>
  <c r="G120" i="83"/>
  <c r="G101" i="81"/>
  <c r="F57" i="81"/>
  <c r="G28" i="53" s="1"/>
  <c r="E26" i="55"/>
  <c r="E83" i="55" s="1"/>
  <c r="G105" i="81"/>
  <c r="D144" i="72"/>
  <c r="F80" i="81"/>
  <c r="E26" i="72"/>
  <c r="E50" i="72" s="1"/>
  <c r="E133" i="53"/>
  <c r="F79" i="81"/>
  <c r="E49" i="72"/>
  <c r="F82" i="83"/>
  <c r="H60" i="53"/>
  <c r="H113" i="53" s="1"/>
  <c r="H125" i="83"/>
  <c r="I60" i="53" s="1"/>
  <c r="I113" i="53" s="1"/>
  <c r="E23" i="72"/>
  <c r="E47" i="72" s="1"/>
  <c r="F77" i="81"/>
  <c r="G104" i="81"/>
  <c r="G78" i="53"/>
  <c r="F56" i="81"/>
  <c r="G27" i="53" s="1"/>
  <c r="E25" i="55"/>
  <c r="E82" i="55" s="1"/>
  <c r="E29" i="72"/>
  <c r="E53" i="72" s="1"/>
  <c r="F83" i="81"/>
  <c r="F242" i="55"/>
  <c r="D129" i="55"/>
  <c r="F187" i="55" s="1"/>
  <c r="F253" i="55"/>
  <c r="D140" i="55"/>
  <c r="G53" i="83"/>
  <c r="F42" i="55"/>
  <c r="F99" i="55" s="1"/>
  <c r="E86" i="83"/>
  <c r="G110" i="81"/>
  <c r="D71" i="72"/>
  <c r="F155" i="72"/>
  <c r="D70" i="72"/>
  <c r="F142" i="72" s="1"/>
  <c r="D93" i="55"/>
  <c r="E88" i="83"/>
  <c r="D36" i="84"/>
  <c r="D35" i="84"/>
  <c r="E87" i="83"/>
  <c r="F49" i="83"/>
  <c r="E38" i="55"/>
  <c r="E95" i="55" s="1"/>
  <c r="E85" i="83"/>
  <c r="G252" i="55"/>
  <c r="E139" i="55"/>
  <c r="G197" i="55" s="1"/>
  <c r="D149" i="55"/>
  <c r="F208" i="55" s="1"/>
  <c r="F262" i="55"/>
  <c r="D49" i="55"/>
  <c r="D106" i="55" s="1"/>
  <c r="E60" i="83"/>
  <c r="E272" i="55"/>
  <c r="C159" i="55"/>
  <c r="E218" i="55" s="1"/>
  <c r="F77" i="84"/>
  <c r="F76" i="84"/>
  <c r="C157" i="55"/>
  <c r="E216" i="55" s="1"/>
  <c r="E270" i="55"/>
  <c r="F243" i="55"/>
  <c r="D130" i="55"/>
  <c r="G277" i="55"/>
  <c r="E167" i="55"/>
  <c r="F82" i="81"/>
  <c r="E28" i="72"/>
  <c r="E52" i="72" s="1"/>
  <c r="F58" i="81"/>
  <c r="G29" i="53" s="1"/>
  <c r="G82" i="53" s="1"/>
  <c r="E27" i="55"/>
  <c r="E84" i="55" s="1"/>
  <c r="F54" i="83"/>
  <c r="E43" i="55"/>
  <c r="E100" i="55" s="1"/>
  <c r="F98" i="83"/>
  <c r="E43" i="84"/>
  <c r="E269" i="55"/>
  <c r="C156" i="55"/>
  <c r="E215" i="55" s="1"/>
  <c r="G81" i="83"/>
  <c r="H109" i="83"/>
  <c r="I44" i="53" s="1"/>
  <c r="I97" i="53" s="1"/>
  <c r="H44" i="53"/>
  <c r="H97" i="53" s="1"/>
  <c r="F245" i="55"/>
  <c r="D132" i="55"/>
  <c r="F190" i="55" s="1"/>
  <c r="D148" i="55"/>
  <c r="F207" i="55" s="1"/>
  <c r="F261" i="55"/>
  <c r="H21" i="21"/>
  <c r="K50" i="61" s="1"/>
  <c r="K57" i="48"/>
  <c r="K59" i="48" s="1"/>
  <c r="E39" i="84"/>
  <c r="F91" i="83"/>
  <c r="F274" i="55"/>
  <c r="D161" i="55"/>
  <c r="F220" i="55" s="1"/>
  <c r="C65" i="55"/>
  <c r="E200" i="55" s="1"/>
  <c r="C10" i="55"/>
  <c r="D131" i="55"/>
  <c r="F189" i="55" s="1"/>
  <c r="F244" i="55"/>
  <c r="F51" i="81"/>
  <c r="G22" i="53" s="1"/>
  <c r="G75" i="53" s="1"/>
  <c r="E20" i="55"/>
  <c r="E77" i="55" s="1"/>
  <c r="F246" i="55"/>
  <c r="D133" i="55"/>
  <c r="F191" i="55" s="1"/>
  <c r="F118" i="83"/>
  <c r="F53" i="53"/>
  <c r="F106" i="53" s="1"/>
  <c r="E31" i="55"/>
  <c r="E88" i="55" s="1"/>
  <c r="F62" i="81"/>
  <c r="G33" i="53" s="1"/>
  <c r="G86" i="53" s="1"/>
  <c r="H20" i="21"/>
  <c r="K49" i="61" s="1"/>
  <c r="J45" i="42"/>
  <c r="J47" i="42" s="1"/>
  <c r="J49" i="42" s="1"/>
  <c r="G103" i="83"/>
  <c r="G38" i="53"/>
  <c r="G91" i="53" s="1"/>
  <c r="F81" i="81"/>
  <c r="E27" i="72"/>
  <c r="E51" i="72" s="1"/>
  <c r="G41" i="53"/>
  <c r="G94" i="53" s="1"/>
  <c r="G106" i="83"/>
  <c r="F59" i="81"/>
  <c r="G30" i="53" s="1"/>
  <c r="E28" i="55"/>
  <c r="E85" i="55" s="1"/>
  <c r="D138" i="55"/>
  <c r="F196" i="55" s="1"/>
  <c r="F251" i="55"/>
  <c r="F75" i="83"/>
  <c r="G42" i="81"/>
  <c r="F11" i="55"/>
  <c r="F13" i="84" s="1"/>
  <c r="F33" i="84" s="1"/>
  <c r="G103" i="81"/>
  <c r="G106" i="81"/>
  <c r="G80" i="53"/>
  <c r="E84" i="83"/>
  <c r="F67" i="83"/>
  <c r="E56" i="55"/>
  <c r="E113" i="55" s="1"/>
  <c r="F78" i="81"/>
  <c r="E48" i="72"/>
  <c r="F60" i="81"/>
  <c r="G31" i="53" s="1"/>
  <c r="G84" i="53" s="1"/>
  <c r="E29" i="55"/>
  <c r="E86" i="55" s="1"/>
  <c r="F48" i="53"/>
  <c r="F101" i="53" s="1"/>
  <c r="F113" i="83"/>
  <c r="E41" i="84"/>
  <c r="F96" i="83"/>
  <c r="F51" i="53"/>
  <c r="F104" i="53" s="1"/>
  <c r="F116" i="83"/>
  <c r="I139" i="29"/>
  <c r="I34" i="29"/>
  <c r="I124" i="29"/>
  <c r="I154" i="29"/>
  <c r="I169" i="29"/>
  <c r="F112" i="83"/>
  <c r="F47" i="53"/>
  <c r="F100" i="53" s="1"/>
  <c r="G95" i="81"/>
  <c r="G69" i="53"/>
  <c r="G226" i="55"/>
  <c r="F226" i="55"/>
  <c r="G81" i="53"/>
  <c r="G107" i="81"/>
  <c r="G58" i="53"/>
  <c r="G111" i="53" s="1"/>
  <c r="G123" i="83"/>
  <c r="F51" i="83"/>
  <c r="E40" i="55"/>
  <c r="E97" i="55" s="1"/>
  <c r="E271" i="55"/>
  <c r="C158" i="55"/>
  <c r="E217" i="55" s="1"/>
  <c r="D50" i="55"/>
  <c r="D107" i="55" s="1"/>
  <c r="E61" i="83"/>
  <c r="E40" i="84"/>
  <c r="F95" i="83"/>
  <c r="E59" i="83"/>
  <c r="D48" i="55"/>
  <c r="D105" i="55" s="1"/>
  <c r="E21" i="55"/>
  <c r="E78" i="55" s="1"/>
  <c r="F52" i="81"/>
  <c r="G56" i="53"/>
  <c r="G109" i="53" s="1"/>
  <c r="G121" i="83"/>
  <c r="E83" i="83"/>
  <c r="G122" i="83"/>
  <c r="G57" i="53"/>
  <c r="G110" i="53" s="1"/>
  <c r="E57" i="55"/>
  <c r="E114" i="55" s="1"/>
  <c r="F68" i="83"/>
  <c r="E56" i="83"/>
  <c r="D45" i="55"/>
  <c r="D102" i="55" s="1"/>
  <c r="D168" i="55"/>
  <c r="F227" i="55" s="1"/>
  <c r="F278" i="55"/>
  <c r="F93" i="83"/>
  <c r="F236" i="55"/>
  <c r="D123" i="55"/>
  <c r="F181" i="55" s="1"/>
  <c r="E58" i="83"/>
  <c r="D47" i="55"/>
  <c r="D104" i="55" s="1"/>
  <c r="F54" i="81"/>
  <c r="E23" i="55"/>
  <c r="F85" i="81"/>
  <c r="E31" i="72"/>
  <c r="E55" i="72" s="1"/>
  <c r="F50" i="83"/>
  <c r="E39" i="55"/>
  <c r="E96" i="55" s="1"/>
  <c r="E90" i="83"/>
  <c r="D38" i="84"/>
  <c r="D127" i="55"/>
  <c r="F185" i="55" s="1"/>
  <c r="F240" i="55"/>
  <c r="E52" i="55"/>
  <c r="E109" i="55" s="1"/>
  <c r="F63" i="83"/>
  <c r="F210" i="55"/>
  <c r="E273" i="55"/>
  <c r="C160" i="55"/>
  <c r="E219" i="55" s="1"/>
  <c r="F78" i="83"/>
  <c r="F84" i="81"/>
  <c r="E30" i="72"/>
  <c r="E54" i="72" s="1"/>
  <c r="F53" i="81"/>
  <c r="G24" i="53" s="1"/>
  <c r="G77" i="53" s="1"/>
  <c r="E22" i="55"/>
  <c r="E79" i="55" s="1"/>
  <c r="D146" i="72"/>
  <c r="E89" i="83"/>
  <c r="D37" i="84"/>
  <c r="F55" i="81"/>
  <c r="G26" i="53" s="1"/>
  <c r="G79" i="53" s="1"/>
  <c r="E24" i="55"/>
  <c r="E81" i="55" s="1"/>
  <c r="C61" i="55"/>
  <c r="G73" i="53"/>
  <c r="G99" i="81"/>
  <c r="N57" i="22"/>
  <c r="M49" i="22"/>
  <c r="L51" i="22"/>
  <c r="N58" i="22"/>
  <c r="O55" i="22" s="1"/>
  <c r="G51" i="22"/>
  <c r="F49" i="22"/>
  <c r="E75" i="84" l="1"/>
  <c r="E80" i="84" s="1"/>
  <c r="G63" i="53"/>
  <c r="G11" i="53" s="1"/>
  <c r="H146" i="53" s="1"/>
  <c r="F88" i="84"/>
  <c r="D45" i="84"/>
  <c r="D62" i="84" s="1"/>
  <c r="F89" i="84" s="1"/>
  <c r="F84" i="84"/>
  <c r="F85" i="84"/>
  <c r="F90" i="84"/>
  <c r="E80" i="55"/>
  <c r="G245" i="55" s="1"/>
  <c r="E14" i="84"/>
  <c r="G68" i="53"/>
  <c r="H144" i="53" s="1"/>
  <c r="G145" i="53"/>
  <c r="G119" i="53"/>
  <c r="H141" i="53"/>
  <c r="G120" i="53"/>
  <c r="H142" i="53"/>
  <c r="E96" i="72"/>
  <c r="E95" i="72"/>
  <c r="E64" i="72"/>
  <c r="E63" i="72"/>
  <c r="G140" i="72" s="1"/>
  <c r="E150" i="55"/>
  <c r="G209" i="55" s="1"/>
  <c r="G263" i="55"/>
  <c r="G76" i="83"/>
  <c r="F41" i="55"/>
  <c r="F98" i="55" s="1"/>
  <c r="G52" i="83"/>
  <c r="G46" i="83"/>
  <c r="F35" i="55"/>
  <c r="F92" i="55" s="1"/>
  <c r="H102" i="83"/>
  <c r="I37" i="53" s="1"/>
  <c r="I90" i="53" s="1"/>
  <c r="H37" i="53"/>
  <c r="H90" i="53" s="1"/>
  <c r="E144" i="55"/>
  <c r="G203" i="55" s="1"/>
  <c r="G257" i="55"/>
  <c r="G80" i="83"/>
  <c r="H43" i="53"/>
  <c r="H96" i="53" s="1"/>
  <c r="H108" i="83"/>
  <c r="I43" i="53" s="1"/>
  <c r="I96" i="53" s="1"/>
  <c r="F37" i="55"/>
  <c r="F94" i="55" s="1"/>
  <c r="G48" i="83"/>
  <c r="G259" i="55"/>
  <c r="E146" i="55"/>
  <c r="G205" i="55" s="1"/>
  <c r="H104" i="83"/>
  <c r="I39" i="53" s="1"/>
  <c r="I92" i="53" s="1"/>
  <c r="H39" i="53"/>
  <c r="H92" i="53" s="1"/>
  <c r="F15" i="55"/>
  <c r="F72" i="55" s="1"/>
  <c r="G46" i="81"/>
  <c r="H17" i="53" s="1"/>
  <c r="H70" i="53" s="1"/>
  <c r="E124" i="55"/>
  <c r="G182" i="55" s="1"/>
  <c r="G237" i="55"/>
  <c r="F15" i="61"/>
  <c r="E151" i="53" s="1"/>
  <c r="H92" i="81"/>
  <c r="I66" i="53" s="1"/>
  <c r="H66" i="53"/>
  <c r="F13" i="55"/>
  <c r="F70" i="55" s="1"/>
  <c r="G44" i="81"/>
  <c r="H15" i="53" s="1"/>
  <c r="H68" i="53" s="1"/>
  <c r="D148" i="72"/>
  <c r="B9" i="21" s="1"/>
  <c r="G48" i="81"/>
  <c r="H19" i="53" s="1"/>
  <c r="H72" i="53" s="1"/>
  <c r="F17" i="55"/>
  <c r="F74" i="55" s="1"/>
  <c r="G47" i="81"/>
  <c r="H18" i="53" s="1"/>
  <c r="H71" i="53" s="1"/>
  <c r="F16" i="55"/>
  <c r="F73" i="55" s="1"/>
  <c r="E78" i="72"/>
  <c r="G141" i="72" s="1"/>
  <c r="E79" i="72"/>
  <c r="G154" i="72"/>
  <c r="G75" i="81"/>
  <c r="F21" i="72"/>
  <c r="F45" i="72" s="1"/>
  <c r="G153" i="72"/>
  <c r="G72" i="81"/>
  <c r="F18" i="72"/>
  <c r="F42" i="72" s="1"/>
  <c r="F39" i="72"/>
  <c r="G69" i="81"/>
  <c r="H98" i="81"/>
  <c r="G235" i="55"/>
  <c r="E122" i="55"/>
  <c r="G180" i="55" s="1"/>
  <c r="F12" i="55"/>
  <c r="F69" i="55" s="1"/>
  <c r="G43" i="81"/>
  <c r="G68" i="81"/>
  <c r="F14" i="72"/>
  <c r="F38" i="72" s="1"/>
  <c r="F19" i="55"/>
  <c r="F76" i="55" s="1"/>
  <c r="G50" i="81"/>
  <c r="H21" i="53" s="1"/>
  <c r="G73" i="81"/>
  <c r="F19" i="72"/>
  <c r="F43" i="72" s="1"/>
  <c r="E126" i="55"/>
  <c r="G184" i="55" s="1"/>
  <c r="G239" i="55"/>
  <c r="G238" i="55"/>
  <c r="E125" i="55"/>
  <c r="G183" i="55" s="1"/>
  <c r="H93" i="81"/>
  <c r="I67" i="53" s="1"/>
  <c r="H67" i="53"/>
  <c r="E121" i="55"/>
  <c r="G179" i="55" s="1"/>
  <c r="G234" i="55"/>
  <c r="H97" i="81"/>
  <c r="H94" i="81"/>
  <c r="G241" i="55"/>
  <c r="E128" i="55"/>
  <c r="G186" i="55" s="1"/>
  <c r="M64" i="22"/>
  <c r="N61" i="22" s="1"/>
  <c r="N62" i="22" s="1"/>
  <c r="N63" i="22" s="1"/>
  <c r="E17" i="61"/>
  <c r="E16" i="61"/>
  <c r="D290" i="55" s="1"/>
  <c r="D292" i="55" s="1"/>
  <c r="G84" i="81"/>
  <c r="F30" i="72"/>
  <c r="F54" i="72" s="1"/>
  <c r="G54" i="81"/>
  <c r="F23" i="55"/>
  <c r="E130" i="55"/>
  <c r="G188" i="55" s="1"/>
  <c r="G243" i="55"/>
  <c r="G78" i="83"/>
  <c r="G274" i="55"/>
  <c r="E161" i="55"/>
  <c r="G220" i="55" s="1"/>
  <c r="F90" i="83"/>
  <c r="E38" i="84"/>
  <c r="G85" i="81"/>
  <c r="F31" i="72"/>
  <c r="F55" i="72" s="1"/>
  <c r="F269" i="55"/>
  <c r="D156" i="55"/>
  <c r="F215" i="55" s="1"/>
  <c r="D154" i="55"/>
  <c r="F213" i="55" s="1"/>
  <c r="F267" i="55"/>
  <c r="E48" i="55"/>
  <c r="E105" i="55" s="1"/>
  <c r="F59" i="83"/>
  <c r="G77" i="84"/>
  <c r="G76" i="84"/>
  <c r="F272" i="55"/>
  <c r="D159" i="55"/>
  <c r="F218" i="55" s="1"/>
  <c r="G51" i="83"/>
  <c r="F40" i="55"/>
  <c r="F97" i="55" s="1"/>
  <c r="G60" i="81"/>
  <c r="H31" i="53" s="1"/>
  <c r="H84" i="53" s="1"/>
  <c r="F29" i="55"/>
  <c r="F86" i="55" s="1"/>
  <c r="F48" i="72"/>
  <c r="G78" i="81"/>
  <c r="F56" i="55"/>
  <c r="F113" i="55" s="1"/>
  <c r="G67" i="83"/>
  <c r="H106" i="81"/>
  <c r="G11" i="55"/>
  <c r="G13" i="84" s="1"/>
  <c r="G33" i="84" s="1"/>
  <c r="H42" i="81"/>
  <c r="H11" i="55" s="1"/>
  <c r="H13" i="84" s="1"/>
  <c r="G75" i="83"/>
  <c r="C122" i="29"/>
  <c r="C152" i="29"/>
  <c r="C32" i="29"/>
  <c r="C137" i="29"/>
  <c r="C167" i="29"/>
  <c r="G81" i="81"/>
  <c r="F27" i="72"/>
  <c r="F51" i="72" s="1"/>
  <c r="H103" i="83"/>
  <c r="I38" i="53" s="1"/>
  <c r="I91" i="53" s="1"/>
  <c r="H38" i="53"/>
  <c r="H91" i="53" s="1"/>
  <c r="G118" i="83"/>
  <c r="G53" i="53"/>
  <c r="G106" i="53" s="1"/>
  <c r="G51" i="81"/>
  <c r="H22" i="53" s="1"/>
  <c r="F20" i="55"/>
  <c r="F77" i="55" s="1"/>
  <c r="G91" i="83"/>
  <c r="F39" i="84"/>
  <c r="H81" i="83"/>
  <c r="G98" i="83"/>
  <c r="F43" i="84"/>
  <c r="G58" i="81"/>
  <c r="H29" i="53" s="1"/>
  <c r="F27" i="55"/>
  <c r="F84" i="55" s="1"/>
  <c r="F188" i="55"/>
  <c r="F60" i="83"/>
  <c r="E49" i="55"/>
  <c r="E106" i="55" s="1"/>
  <c r="F85" i="83"/>
  <c r="D145" i="55"/>
  <c r="F204" i="55" s="1"/>
  <c r="F258" i="55"/>
  <c r="H53" i="83"/>
  <c r="H42" i="55" s="1"/>
  <c r="H99" i="55" s="1"/>
  <c r="G42" i="55"/>
  <c r="G99" i="55" s="1"/>
  <c r="F29" i="72"/>
  <c r="F53" i="72" s="1"/>
  <c r="G83" i="81"/>
  <c r="G152" i="72"/>
  <c r="G82" i="83"/>
  <c r="H105" i="81"/>
  <c r="E135" i="55"/>
  <c r="G193" i="55" s="1"/>
  <c r="G248" i="55"/>
  <c r="H111" i="81"/>
  <c r="H85" i="53"/>
  <c r="H277" i="55"/>
  <c r="F167" i="55"/>
  <c r="H226" i="55" s="1"/>
  <c r="H97" i="83"/>
  <c r="H42" i="84" s="1"/>
  <c r="G42" i="84"/>
  <c r="G94" i="83"/>
  <c r="F178" i="55"/>
  <c r="F285" i="55"/>
  <c r="F284" i="55"/>
  <c r="E46" i="55"/>
  <c r="E103" i="55" s="1"/>
  <c r="F57" i="83"/>
  <c r="E71" i="72"/>
  <c r="E70" i="72"/>
  <c r="G142" i="72" s="1"/>
  <c r="G155" i="72"/>
  <c r="I170" i="29"/>
  <c r="I35" i="29"/>
  <c r="I140" i="29"/>
  <c r="I125" i="29"/>
  <c r="I155" i="29"/>
  <c r="G49" i="53"/>
  <c r="G102" i="53" s="1"/>
  <c r="G114" i="83"/>
  <c r="G45" i="81"/>
  <c r="H16" i="53" s="1"/>
  <c r="H69" i="53" s="1"/>
  <c r="F14" i="55"/>
  <c r="F71" i="55" s="1"/>
  <c r="E136" i="53"/>
  <c r="G77" i="83"/>
  <c r="F55" i="83"/>
  <c r="E44" i="55"/>
  <c r="E101" i="55" s="1"/>
  <c r="D35" i="72"/>
  <c r="D12" i="72"/>
  <c r="F157" i="72"/>
  <c r="H76" i="53"/>
  <c r="H102" i="81"/>
  <c r="I76" i="53" s="1"/>
  <c r="M44" i="22"/>
  <c r="M45" i="22" s="1"/>
  <c r="E33" i="55"/>
  <c r="E37" i="84"/>
  <c r="F89" i="83"/>
  <c r="E132" i="55"/>
  <c r="E47" i="55"/>
  <c r="E104" i="55" s="1"/>
  <c r="F58" i="83"/>
  <c r="G93" i="83"/>
  <c r="F56" i="83"/>
  <c r="E45" i="55"/>
  <c r="E102" i="55" s="1"/>
  <c r="H122" i="83"/>
  <c r="I57" i="53" s="1"/>
  <c r="I110" i="53" s="1"/>
  <c r="H57" i="53"/>
  <c r="H110" i="53" s="1"/>
  <c r="F83" i="83"/>
  <c r="G52" i="81"/>
  <c r="F21" i="55"/>
  <c r="F78" i="55" s="1"/>
  <c r="H123" i="83"/>
  <c r="I58" i="53" s="1"/>
  <c r="I111" i="53" s="1"/>
  <c r="H58" i="53"/>
  <c r="H111" i="53" s="1"/>
  <c r="G112" i="83"/>
  <c r="G47" i="53"/>
  <c r="G100" i="53" s="1"/>
  <c r="F41" i="84"/>
  <c r="G96" i="83"/>
  <c r="G48" i="53"/>
  <c r="G101" i="53" s="1"/>
  <c r="G113" i="83"/>
  <c r="G250" i="55"/>
  <c r="E137" i="55"/>
  <c r="G195" i="55" s="1"/>
  <c r="H106" i="83"/>
  <c r="I41" i="53" s="1"/>
  <c r="I94" i="53" s="1"/>
  <c r="H41" i="53"/>
  <c r="H94" i="53" s="1"/>
  <c r="F31" i="55"/>
  <c r="F88" i="55" s="1"/>
  <c r="G62" i="81"/>
  <c r="H33" i="53" s="1"/>
  <c r="G265" i="55"/>
  <c r="E152" i="55"/>
  <c r="G211" i="55" s="1"/>
  <c r="F271" i="55"/>
  <c r="D158" i="55"/>
  <c r="F217" i="55" s="1"/>
  <c r="G260" i="55"/>
  <c r="E147" i="55"/>
  <c r="G206" i="55" s="1"/>
  <c r="H104" i="81"/>
  <c r="I78" i="53" s="1"/>
  <c r="H78" i="53"/>
  <c r="G57" i="81"/>
  <c r="H28" i="53" s="1"/>
  <c r="H81" i="53" s="1"/>
  <c r="F26" i="55"/>
  <c r="F83" i="55" s="1"/>
  <c r="H54" i="53"/>
  <c r="H107" i="53" s="1"/>
  <c r="H119" i="83"/>
  <c r="I54" i="53" s="1"/>
  <c r="I107" i="53" s="1"/>
  <c r="E146" i="72"/>
  <c r="E148" i="72" s="1"/>
  <c r="E160" i="72"/>
  <c r="D86" i="84"/>
  <c r="D87" i="84"/>
  <c r="F268" i="55"/>
  <c r="D155" i="55"/>
  <c r="F214" i="55" s="1"/>
  <c r="H112" i="81"/>
  <c r="H86" i="53"/>
  <c r="F16" i="72"/>
  <c r="F40" i="72" s="1"/>
  <c r="G70" i="81"/>
  <c r="F139" i="72"/>
  <c r="F162" i="72"/>
  <c r="F144" i="72"/>
  <c r="F161" i="72"/>
  <c r="G52" i="53"/>
  <c r="G105" i="53" s="1"/>
  <c r="G117" i="83"/>
  <c r="G240" i="55"/>
  <c r="E127" i="55"/>
  <c r="G185" i="55" s="1"/>
  <c r="G70" i="83"/>
  <c r="F59" i="55"/>
  <c r="F116" i="55" s="1"/>
  <c r="H126" i="83"/>
  <c r="I61" i="53" s="1"/>
  <c r="I114" i="53" s="1"/>
  <c r="H61" i="53"/>
  <c r="H114" i="53" s="1"/>
  <c r="C37" i="29"/>
  <c r="C172" i="29"/>
  <c r="C157" i="29"/>
  <c r="C127" i="29"/>
  <c r="C142" i="29"/>
  <c r="H108" i="81"/>
  <c r="H82" i="53"/>
  <c r="G233" i="55"/>
  <c r="E120" i="55"/>
  <c r="E32" i="72"/>
  <c r="G156" i="72" s="1"/>
  <c r="F39" i="55"/>
  <c r="F96" i="55" s="1"/>
  <c r="G50" i="83"/>
  <c r="F84" i="83"/>
  <c r="H103" i="81"/>
  <c r="F28" i="55"/>
  <c r="F85" i="55" s="1"/>
  <c r="G59" i="81"/>
  <c r="H30" i="53" s="1"/>
  <c r="E140" i="55"/>
  <c r="G198" i="55" s="1"/>
  <c r="G253" i="55"/>
  <c r="F43" i="55"/>
  <c r="F100" i="55" s="1"/>
  <c r="G54" i="83"/>
  <c r="F134" i="53"/>
  <c r="F38" i="55"/>
  <c r="F95" i="55" s="1"/>
  <c r="G49" i="83"/>
  <c r="E36" i="84"/>
  <c r="F88" i="83"/>
  <c r="H110" i="81"/>
  <c r="E134" i="55"/>
  <c r="G192" i="55" s="1"/>
  <c r="G247" i="55"/>
  <c r="F49" i="72"/>
  <c r="G79" i="81"/>
  <c r="H101" i="81"/>
  <c r="H75" i="53"/>
  <c r="H120" i="83"/>
  <c r="I55" i="53" s="1"/>
  <c r="I108" i="53" s="1"/>
  <c r="H55" i="53"/>
  <c r="H108" i="53" s="1"/>
  <c r="F133" i="53"/>
  <c r="H110" i="83"/>
  <c r="I45" i="53" s="1"/>
  <c r="I98" i="53" s="1"/>
  <c r="H45" i="53"/>
  <c r="H98" i="53" s="1"/>
  <c r="H252" i="55"/>
  <c r="F139" i="55"/>
  <c r="H197" i="55" s="1"/>
  <c r="G79" i="83"/>
  <c r="E93" i="55"/>
  <c r="H105" i="83"/>
  <c r="I40" i="53" s="1"/>
  <c r="I93" i="53" s="1"/>
  <c r="H40" i="53"/>
  <c r="H93" i="53" s="1"/>
  <c r="F37" i="72"/>
  <c r="H59" i="53"/>
  <c r="H112" i="53" s="1"/>
  <c r="H124" i="83"/>
  <c r="I59" i="53" s="1"/>
  <c r="I112" i="53" s="1"/>
  <c r="F273" i="55"/>
  <c r="D160" i="55"/>
  <c r="F219" i="55" s="1"/>
  <c r="G49" i="81"/>
  <c r="H20" i="53" s="1"/>
  <c r="F18" i="55"/>
  <c r="F75" i="55" s="1"/>
  <c r="G278" i="55"/>
  <c r="E168" i="55"/>
  <c r="G227" i="55" s="1"/>
  <c r="F132" i="53"/>
  <c r="D65" i="55"/>
  <c r="F200" i="55" s="1"/>
  <c r="D10" i="55"/>
  <c r="G244" i="55"/>
  <c r="E131" i="55"/>
  <c r="G189" i="55" s="1"/>
  <c r="G261" i="55"/>
  <c r="E148" i="55"/>
  <c r="G207" i="55" s="1"/>
  <c r="G246" i="55"/>
  <c r="E133" i="55"/>
  <c r="G191" i="55" s="1"/>
  <c r="F22" i="55"/>
  <c r="F79" i="55" s="1"/>
  <c r="G53" i="81"/>
  <c r="H24" i="53" s="1"/>
  <c r="H77" i="53" s="1"/>
  <c r="G68" i="83"/>
  <c r="F57" i="55"/>
  <c r="F114" i="55" s="1"/>
  <c r="H99" i="81"/>
  <c r="H73" i="53"/>
  <c r="G55" i="81"/>
  <c r="H26" i="53" s="1"/>
  <c r="H79" i="53" s="1"/>
  <c r="F24" i="55"/>
  <c r="F81" i="55" s="1"/>
  <c r="F52" i="55"/>
  <c r="F109" i="55" s="1"/>
  <c r="G63" i="83"/>
  <c r="D151" i="53"/>
  <c r="D153" i="53" s="1"/>
  <c r="F6" i="61"/>
  <c r="G276" i="55"/>
  <c r="E166" i="55"/>
  <c r="G225" i="55" s="1"/>
  <c r="H56" i="53"/>
  <c r="H109" i="53" s="1"/>
  <c r="H121" i="83"/>
  <c r="I56" i="53" s="1"/>
  <c r="I109" i="53" s="1"/>
  <c r="F270" i="55"/>
  <c r="D157" i="55"/>
  <c r="F216" i="55" s="1"/>
  <c r="G95" i="83"/>
  <c r="F40" i="84"/>
  <c r="F61" i="83"/>
  <c r="E50" i="55"/>
  <c r="E107" i="55" s="1"/>
  <c r="G262" i="55"/>
  <c r="E149" i="55"/>
  <c r="G208" i="55" s="1"/>
  <c r="H107" i="81"/>
  <c r="H95" i="81"/>
  <c r="G116" i="83"/>
  <c r="G51" i="53"/>
  <c r="G104" i="53" s="1"/>
  <c r="D28" i="84"/>
  <c r="E138" i="55"/>
  <c r="G196" i="55" s="1"/>
  <c r="G251" i="55"/>
  <c r="E165" i="55"/>
  <c r="G224" i="55" s="1"/>
  <c r="G275" i="55"/>
  <c r="F68" i="55"/>
  <c r="E129" i="55"/>
  <c r="G187" i="55" s="1"/>
  <c r="G242" i="55"/>
  <c r="E282" i="55"/>
  <c r="E283" i="55"/>
  <c r="G249" i="55"/>
  <c r="E136" i="55"/>
  <c r="G194" i="55" s="1"/>
  <c r="F28" i="72"/>
  <c r="F52" i="72" s="1"/>
  <c r="G82" i="81"/>
  <c r="F87" i="83"/>
  <c r="E35" i="84"/>
  <c r="D61" i="55"/>
  <c r="C13" i="21"/>
  <c r="F39" i="61" s="1"/>
  <c r="F86" i="83"/>
  <c r="E34" i="84"/>
  <c r="H264" i="55"/>
  <c r="F151" i="55"/>
  <c r="H210" i="55" s="1"/>
  <c r="F198" i="55"/>
  <c r="G56" i="81"/>
  <c r="H27" i="53" s="1"/>
  <c r="H80" i="53" s="1"/>
  <c r="F25" i="55"/>
  <c r="F82" i="55" s="1"/>
  <c r="G77" i="81"/>
  <c r="F23" i="72"/>
  <c r="F47" i="72" s="1"/>
  <c r="F26" i="72"/>
  <c r="F50" i="72" s="1"/>
  <c r="G80" i="81"/>
  <c r="G76" i="81"/>
  <c r="F46" i="72"/>
  <c r="H69" i="83"/>
  <c r="H58" i="55" s="1"/>
  <c r="H115" i="55" s="1"/>
  <c r="G58" i="55"/>
  <c r="G115" i="55" s="1"/>
  <c r="E159" i="72"/>
  <c r="E158" i="72"/>
  <c r="F20" i="72"/>
  <c r="F44" i="72" s="1"/>
  <c r="G74" i="81"/>
  <c r="H61" i="81"/>
  <c r="G30" i="55"/>
  <c r="G87" i="55" s="1"/>
  <c r="G47" i="83"/>
  <c r="F36" i="55"/>
  <c r="G50" i="53"/>
  <c r="G103" i="53" s="1"/>
  <c r="G115" i="83"/>
  <c r="G92" i="83"/>
  <c r="H67" i="81"/>
  <c r="H33" i="84" s="1"/>
  <c r="G111" i="83"/>
  <c r="G46" i="53"/>
  <c r="G99" i="53" s="1"/>
  <c r="E51" i="55"/>
  <c r="E108" i="55" s="1"/>
  <c r="F62" i="83"/>
  <c r="H42" i="53"/>
  <c r="H95" i="53" s="1"/>
  <c r="H107" i="83"/>
  <c r="I42" i="53" s="1"/>
  <c r="I95" i="53" s="1"/>
  <c r="G236" i="55"/>
  <c r="E123" i="55"/>
  <c r="G181" i="55" s="1"/>
  <c r="E229" i="55"/>
  <c r="D153" i="55"/>
  <c r="F212" i="55" s="1"/>
  <c r="F266" i="55"/>
  <c r="C12" i="84"/>
  <c r="C31" i="84"/>
  <c r="C156" i="29"/>
  <c r="C141" i="29"/>
  <c r="C36" i="29"/>
  <c r="C126" i="29"/>
  <c r="C171" i="29"/>
  <c r="O56" i="22"/>
  <c r="O57" i="22" s="1"/>
  <c r="F52" i="22"/>
  <c r="M50" i="22"/>
  <c r="H51" i="22"/>
  <c r="F75" i="84" l="1"/>
  <c r="F80" i="84" s="1"/>
  <c r="I144" i="53"/>
  <c r="E45" i="84"/>
  <c r="E62" i="84" s="1"/>
  <c r="G89" i="84" s="1"/>
  <c r="G90" i="84"/>
  <c r="G88" i="84"/>
  <c r="G85" i="84"/>
  <c r="G84" i="84"/>
  <c r="H140" i="53"/>
  <c r="F80" i="55"/>
  <c r="H245" i="55" s="1"/>
  <c r="F14" i="84"/>
  <c r="H63" i="53"/>
  <c r="H11" i="53" s="1"/>
  <c r="I146" i="53" s="1"/>
  <c r="G118" i="53"/>
  <c r="H145" i="53" s="1"/>
  <c r="H30" i="55"/>
  <c r="H87" i="55" s="1"/>
  <c r="I32" i="53"/>
  <c r="I85" i="53" s="1"/>
  <c r="B15" i="21"/>
  <c r="C6" i="68" s="1"/>
  <c r="E35" i="61"/>
  <c r="E41" i="61" s="1"/>
  <c r="B9" i="69" s="1"/>
  <c r="H119" i="53"/>
  <c r="I141" i="53"/>
  <c r="H120" i="53"/>
  <c r="I142" i="53"/>
  <c r="H118" i="53"/>
  <c r="I140" i="53"/>
  <c r="F95" i="72"/>
  <c r="F96" i="72"/>
  <c r="F64" i="72"/>
  <c r="F63" i="72"/>
  <c r="H140" i="72" s="1"/>
  <c r="G6" i="61"/>
  <c r="F150" i="53" s="1"/>
  <c r="H80" i="83"/>
  <c r="H48" i="83"/>
  <c r="H37" i="55" s="1"/>
  <c r="H94" i="55" s="1"/>
  <c r="G37" i="55"/>
  <c r="G94" i="55" s="1"/>
  <c r="H52" i="83"/>
  <c r="H41" i="55" s="1"/>
  <c r="H98" i="55" s="1"/>
  <c r="G41" i="55"/>
  <c r="G98" i="55" s="1"/>
  <c r="H259" i="55"/>
  <c r="F146" i="55"/>
  <c r="H205" i="55" s="1"/>
  <c r="H263" i="55"/>
  <c r="F150" i="55"/>
  <c r="H209" i="55" s="1"/>
  <c r="H76" i="83"/>
  <c r="H257" i="55"/>
  <c r="F144" i="55"/>
  <c r="H203" i="55" s="1"/>
  <c r="H46" i="83"/>
  <c r="H35" i="55" s="1"/>
  <c r="H92" i="55" s="1"/>
  <c r="G35" i="55"/>
  <c r="G92" i="55" s="1"/>
  <c r="H46" i="81"/>
  <c r="G15" i="55"/>
  <c r="G72" i="55" s="1"/>
  <c r="H237" i="55"/>
  <c r="F124" i="55"/>
  <c r="H182" i="55" s="1"/>
  <c r="F16" i="61"/>
  <c r="E290" i="55" s="1"/>
  <c r="F121" i="55"/>
  <c r="H179" i="55" s="1"/>
  <c r="H234" i="55"/>
  <c r="G18" i="72"/>
  <c r="G42" i="72" s="1"/>
  <c r="H72" i="81"/>
  <c r="H18" i="72" s="1"/>
  <c r="H42" i="72" s="1"/>
  <c r="G17" i="55"/>
  <c r="G74" i="55" s="1"/>
  <c r="H48" i="81"/>
  <c r="G15" i="61"/>
  <c r="H6" i="61" s="1"/>
  <c r="G150" i="53" s="1"/>
  <c r="G19" i="55"/>
  <c r="G76" i="55" s="1"/>
  <c r="H50" i="81"/>
  <c r="H153" i="72"/>
  <c r="G39" i="72"/>
  <c r="H69" i="81"/>
  <c r="H39" i="72" s="1"/>
  <c r="G21" i="72"/>
  <c r="G45" i="72" s="1"/>
  <c r="H75" i="81"/>
  <c r="H21" i="72" s="1"/>
  <c r="H45" i="72" s="1"/>
  <c r="F125" i="55"/>
  <c r="H183" i="55" s="1"/>
  <c r="H238" i="55"/>
  <c r="H73" i="81"/>
  <c r="H19" i="72" s="1"/>
  <c r="H43" i="72" s="1"/>
  <c r="G19" i="72"/>
  <c r="G43" i="72" s="1"/>
  <c r="F128" i="55"/>
  <c r="H186" i="55" s="1"/>
  <c r="H241" i="55"/>
  <c r="G14" i="72"/>
  <c r="G38" i="72" s="1"/>
  <c r="H68" i="81"/>
  <c r="H14" i="72" s="1"/>
  <c r="H38" i="72" s="1"/>
  <c r="H47" i="81"/>
  <c r="G16" i="55"/>
  <c r="G73" i="55" s="1"/>
  <c r="H44" i="81"/>
  <c r="G13" i="55"/>
  <c r="G70" i="55" s="1"/>
  <c r="H43" i="81"/>
  <c r="H12" i="55" s="1"/>
  <c r="H69" i="55" s="1"/>
  <c r="G12" i="55"/>
  <c r="G69" i="55" s="1"/>
  <c r="H154" i="72"/>
  <c r="F78" i="72"/>
  <c r="H141" i="72" s="1"/>
  <c r="F79" i="72"/>
  <c r="F126" i="55"/>
  <c r="H184" i="55" s="1"/>
  <c r="H239" i="55"/>
  <c r="F122" i="55"/>
  <c r="H180" i="55" s="1"/>
  <c r="H235" i="55"/>
  <c r="D168" i="72"/>
  <c r="D170" i="72" s="1"/>
  <c r="D179" i="72" s="1"/>
  <c r="D181" i="72" s="1"/>
  <c r="D183" i="72" s="1"/>
  <c r="F17" i="61"/>
  <c r="E168" i="72" s="1"/>
  <c r="F8" i="61"/>
  <c r="F7" i="61"/>
  <c r="E289" i="55" s="1"/>
  <c r="N64" i="22"/>
  <c r="O61" i="22" s="1"/>
  <c r="O62" i="22" s="1"/>
  <c r="O63" i="22" s="1"/>
  <c r="E18" i="61"/>
  <c r="D96" i="84" s="1"/>
  <c r="D98" i="84" s="1"/>
  <c r="C9" i="21"/>
  <c r="F35" i="61" s="1"/>
  <c r="C8" i="21"/>
  <c r="F34" i="61" s="1"/>
  <c r="H111" i="83"/>
  <c r="I46" i="53" s="1"/>
  <c r="I99" i="53" s="1"/>
  <c r="H46" i="53"/>
  <c r="H99" i="53" s="1"/>
  <c r="G37" i="72"/>
  <c r="H47" i="83"/>
  <c r="H36" i="55" s="1"/>
  <c r="G36" i="55"/>
  <c r="J277" i="55"/>
  <c r="H167" i="55"/>
  <c r="H80" i="81"/>
  <c r="H26" i="72" s="1"/>
  <c r="H50" i="72" s="1"/>
  <c r="G26" i="72"/>
  <c r="G50" i="72" s="1"/>
  <c r="F134" i="55"/>
  <c r="H192" i="55" s="1"/>
  <c r="H247" i="55"/>
  <c r="H82" i="81"/>
  <c r="H28" i="72" s="1"/>
  <c r="H52" i="72" s="1"/>
  <c r="G28" i="72"/>
  <c r="G52" i="72" s="1"/>
  <c r="F33" i="55"/>
  <c r="D31" i="84"/>
  <c r="D12" i="84"/>
  <c r="G40" i="84"/>
  <c r="H95" i="83"/>
  <c r="H40" i="84" s="1"/>
  <c r="E150" i="53"/>
  <c r="E153" i="53" s="1"/>
  <c r="H55" i="81"/>
  <c r="G24" i="55"/>
  <c r="G81" i="55" s="1"/>
  <c r="H244" i="55"/>
  <c r="F131" i="55"/>
  <c r="H189" i="55" s="1"/>
  <c r="H79" i="83"/>
  <c r="F36" i="84"/>
  <c r="G88" i="83"/>
  <c r="D13" i="21"/>
  <c r="G39" i="61" s="1"/>
  <c r="G39" i="55"/>
  <c r="G96" i="55" s="1"/>
  <c r="H50" i="83"/>
  <c r="H39" i="55" s="1"/>
  <c r="H96" i="55" s="1"/>
  <c r="E12" i="72"/>
  <c r="E35" i="72"/>
  <c r="G157" i="72"/>
  <c r="G284" i="55"/>
  <c r="G285" i="55"/>
  <c r="G178" i="55"/>
  <c r="H62" i="81"/>
  <c r="G31" i="55"/>
  <c r="G88" i="55" s="1"/>
  <c r="H48" i="53"/>
  <c r="H101" i="53" s="1"/>
  <c r="H113" i="83"/>
  <c r="I48" i="53" s="1"/>
  <c r="I101" i="53" s="1"/>
  <c r="G83" i="83"/>
  <c r="G267" i="55"/>
  <c r="E154" i="55"/>
  <c r="G213" i="55" s="1"/>
  <c r="F47" i="55"/>
  <c r="F104" i="55" s="1"/>
  <c r="G58" i="83"/>
  <c r="F37" i="84"/>
  <c r="G89" i="83"/>
  <c r="E65" i="55"/>
  <c r="G200" i="55" s="1"/>
  <c r="E10" i="55"/>
  <c r="G266" i="55"/>
  <c r="E153" i="55"/>
  <c r="G212" i="55" s="1"/>
  <c r="C12" i="21"/>
  <c r="F38" i="61" s="1"/>
  <c r="G268" i="55"/>
  <c r="E155" i="55"/>
  <c r="G214" i="55" s="1"/>
  <c r="H83" i="81"/>
  <c r="H29" i="72" s="1"/>
  <c r="H53" i="72" s="1"/>
  <c r="G29" i="72"/>
  <c r="G53" i="72" s="1"/>
  <c r="G85" i="83"/>
  <c r="H78" i="81"/>
  <c r="H48" i="72" s="1"/>
  <c r="G48" i="72"/>
  <c r="F48" i="55"/>
  <c r="F105" i="55" s="1"/>
  <c r="G59" i="83"/>
  <c r="H78" i="83"/>
  <c r="F132" i="55"/>
  <c r="H190" i="55" s="1"/>
  <c r="D302" i="55"/>
  <c r="D305" i="55" s="1"/>
  <c r="D307" i="55" s="1"/>
  <c r="B18" i="21"/>
  <c r="E47" i="61" s="1"/>
  <c r="E87" i="84"/>
  <c r="E86" i="84"/>
  <c r="F51" i="55"/>
  <c r="F108" i="55" s="1"/>
  <c r="G62" i="83"/>
  <c r="H50" i="53"/>
  <c r="H103" i="53" s="1"/>
  <c r="H115" i="83"/>
  <c r="I50" i="53" s="1"/>
  <c r="I103" i="53" s="1"/>
  <c r="I252" i="55"/>
  <c r="G139" i="55"/>
  <c r="I197" i="55" s="1"/>
  <c r="H56" i="81"/>
  <c r="G25" i="55"/>
  <c r="G82" i="55" s="1"/>
  <c r="F120" i="55"/>
  <c r="H233" i="55"/>
  <c r="G272" i="55"/>
  <c r="E159" i="55"/>
  <c r="G218" i="55" s="1"/>
  <c r="B22" i="21"/>
  <c r="E51" i="61" s="1"/>
  <c r="D165" i="53"/>
  <c r="D167" i="53" s="1"/>
  <c r="D169" i="53" s="1"/>
  <c r="F166" i="55"/>
  <c r="H225" i="55" s="1"/>
  <c r="H276" i="55"/>
  <c r="G134" i="53"/>
  <c r="H240" i="55"/>
  <c r="F127" i="55"/>
  <c r="H185" i="55" s="1"/>
  <c r="F32" i="72"/>
  <c r="H156" i="72" s="1"/>
  <c r="E61" i="55"/>
  <c r="G49" i="72"/>
  <c r="H79" i="81"/>
  <c r="H54" i="83"/>
  <c r="H43" i="55" s="1"/>
  <c r="H100" i="55" s="1"/>
  <c r="G43" i="55"/>
  <c r="G100" i="55" s="1"/>
  <c r="H59" i="81"/>
  <c r="G28" i="55"/>
  <c r="G85" i="55" s="1"/>
  <c r="H261" i="55"/>
  <c r="F148" i="55"/>
  <c r="H207" i="55" s="1"/>
  <c r="F140" i="55"/>
  <c r="H198" i="55" s="1"/>
  <c r="H253" i="55"/>
  <c r="H112" i="83"/>
  <c r="I47" i="53" s="1"/>
  <c r="I100" i="53" s="1"/>
  <c r="H47" i="53"/>
  <c r="H100" i="53" s="1"/>
  <c r="G56" i="83"/>
  <c r="F45" i="55"/>
  <c r="F102" i="55" s="1"/>
  <c r="G269" i="55"/>
  <c r="E156" i="55"/>
  <c r="G215" i="55" s="1"/>
  <c r="M46" i="22"/>
  <c r="N43" i="22" s="1"/>
  <c r="G55" i="83"/>
  <c r="F44" i="55"/>
  <c r="F101" i="55" s="1"/>
  <c r="H236" i="55"/>
  <c r="F123" i="55"/>
  <c r="H181" i="55" s="1"/>
  <c r="H114" i="83"/>
  <c r="I49" i="53" s="1"/>
  <c r="I102" i="53" s="1"/>
  <c r="H49" i="53"/>
  <c r="H102" i="53" s="1"/>
  <c r="H82" i="83"/>
  <c r="H98" i="83"/>
  <c r="H43" i="84" s="1"/>
  <c r="G43" i="84"/>
  <c r="H91" i="83"/>
  <c r="H39" i="84" s="1"/>
  <c r="G39" i="84"/>
  <c r="H118" i="83"/>
  <c r="I53" i="53" s="1"/>
  <c r="I106" i="53" s="1"/>
  <c r="H53" i="53"/>
  <c r="H106" i="53" s="1"/>
  <c r="G27" i="72"/>
  <c r="G51" i="72" s="1"/>
  <c r="H81" i="81"/>
  <c r="H27" i="72" s="1"/>
  <c r="H51" i="72" s="1"/>
  <c r="H75" i="83"/>
  <c r="G270" i="55"/>
  <c r="E157" i="55"/>
  <c r="G216" i="55" s="1"/>
  <c r="G90" i="83"/>
  <c r="F38" i="84"/>
  <c r="G23" i="55"/>
  <c r="H54" i="81"/>
  <c r="H23" i="55" s="1"/>
  <c r="G273" i="55"/>
  <c r="E160" i="55"/>
  <c r="G219" i="55" s="1"/>
  <c r="J252" i="55"/>
  <c r="H139" i="55"/>
  <c r="H76" i="81"/>
  <c r="H46" i="72" s="1"/>
  <c r="G46" i="72"/>
  <c r="H152" i="72"/>
  <c r="G87" i="83"/>
  <c r="F35" i="84"/>
  <c r="E28" i="84"/>
  <c r="H51" i="53"/>
  <c r="H104" i="53" s="1"/>
  <c r="H116" i="83"/>
  <c r="I51" i="53" s="1"/>
  <c r="I104" i="53" s="1"/>
  <c r="G61" i="83"/>
  <c r="F50" i="55"/>
  <c r="F107" i="55" s="1"/>
  <c r="H63" i="83"/>
  <c r="H52" i="55" s="1"/>
  <c r="H109" i="55" s="1"/>
  <c r="G52" i="55"/>
  <c r="G109" i="55" s="1"/>
  <c r="H68" i="83"/>
  <c r="H57" i="55" s="1"/>
  <c r="H114" i="55" s="1"/>
  <c r="G57" i="55"/>
  <c r="G114" i="55" s="1"/>
  <c r="G133" i="53"/>
  <c r="H49" i="81"/>
  <c r="G18" i="55"/>
  <c r="G75" i="55" s="1"/>
  <c r="G258" i="55"/>
  <c r="E145" i="55"/>
  <c r="G204" i="55" s="1"/>
  <c r="H49" i="83"/>
  <c r="H38" i="55" s="1"/>
  <c r="H95" i="55" s="1"/>
  <c r="G38" i="55"/>
  <c r="G95" i="55" s="1"/>
  <c r="H265" i="55"/>
  <c r="F152" i="55"/>
  <c r="H211" i="55" s="1"/>
  <c r="H250" i="55"/>
  <c r="F137" i="55"/>
  <c r="H195" i="55" s="1"/>
  <c r="G84" i="83"/>
  <c r="H278" i="55"/>
  <c r="F168" i="55"/>
  <c r="H227" i="55" s="1"/>
  <c r="H52" i="53"/>
  <c r="H105" i="53" s="1"/>
  <c r="H117" i="83"/>
  <c r="I52" i="53" s="1"/>
  <c r="I105" i="53" s="1"/>
  <c r="H70" i="81"/>
  <c r="H16" i="72" s="1"/>
  <c r="H40" i="72" s="1"/>
  <c r="G16" i="72"/>
  <c r="G40" i="72" s="1"/>
  <c r="H248" i="55"/>
  <c r="F135" i="55"/>
  <c r="H193" i="55" s="1"/>
  <c r="G41" i="84"/>
  <c r="H96" i="83"/>
  <c r="H41" i="84" s="1"/>
  <c r="F130" i="55"/>
  <c r="H188" i="55" s="1"/>
  <c r="H243" i="55"/>
  <c r="G190" i="55"/>
  <c r="F159" i="72"/>
  <c r="F158" i="72"/>
  <c r="G14" i="55"/>
  <c r="G71" i="55" s="1"/>
  <c r="H45" i="81"/>
  <c r="I264" i="55"/>
  <c r="G151" i="55"/>
  <c r="I210" i="55" s="1"/>
  <c r="G271" i="55"/>
  <c r="E158" i="55"/>
  <c r="G217" i="55" s="1"/>
  <c r="F136" i="55"/>
  <c r="H194" i="55" s="1"/>
  <c r="H249" i="55"/>
  <c r="H242" i="55"/>
  <c r="F129" i="55"/>
  <c r="H187" i="55" s="1"/>
  <c r="H68" i="55"/>
  <c r="G56" i="55"/>
  <c r="G113" i="55" s="1"/>
  <c r="H67" i="83"/>
  <c r="H56" i="55" s="1"/>
  <c r="H113" i="55" s="1"/>
  <c r="F138" i="55"/>
  <c r="H196" i="55" s="1"/>
  <c r="H251" i="55"/>
  <c r="H262" i="55"/>
  <c r="F149" i="55"/>
  <c r="H208" i="55" s="1"/>
  <c r="H37" i="72"/>
  <c r="F93" i="55"/>
  <c r="G20" i="72"/>
  <c r="G44" i="72" s="1"/>
  <c r="H74" i="81"/>
  <c r="H20" i="72" s="1"/>
  <c r="H44" i="72" s="1"/>
  <c r="I277" i="55"/>
  <c r="G167" i="55"/>
  <c r="I226" i="55" s="1"/>
  <c r="G23" i="72"/>
  <c r="G47" i="72" s="1"/>
  <c r="H77" i="81"/>
  <c r="H23" i="72" s="1"/>
  <c r="H47" i="72" s="1"/>
  <c r="F34" i="84"/>
  <c r="G86" i="83"/>
  <c r="D172" i="29"/>
  <c r="D37" i="29"/>
  <c r="D157" i="29"/>
  <c r="D142" i="29"/>
  <c r="D127" i="29"/>
  <c r="H76" i="84"/>
  <c r="H77" i="84"/>
  <c r="H274" i="55"/>
  <c r="F161" i="55"/>
  <c r="H220" i="55" s="1"/>
  <c r="H246" i="55"/>
  <c r="F133" i="55"/>
  <c r="H191" i="55" s="1"/>
  <c r="H53" i="81"/>
  <c r="G22" i="55"/>
  <c r="G79" i="55" s="1"/>
  <c r="F282" i="55"/>
  <c r="F283" i="55"/>
  <c r="F147" i="55"/>
  <c r="H206" i="55" s="1"/>
  <c r="H260" i="55"/>
  <c r="H70" i="83"/>
  <c r="H59" i="55" s="1"/>
  <c r="H116" i="55" s="1"/>
  <c r="G59" i="55"/>
  <c r="G116" i="55" s="1"/>
  <c r="F71" i="72"/>
  <c r="H155" i="72"/>
  <c r="F70" i="72"/>
  <c r="H142" i="72" s="1"/>
  <c r="F136" i="53"/>
  <c r="H57" i="81"/>
  <c r="G26" i="55"/>
  <c r="G83" i="55" s="1"/>
  <c r="H52" i="81"/>
  <c r="H21" i="55" s="1"/>
  <c r="H78" i="55" s="1"/>
  <c r="G21" i="55"/>
  <c r="G78" i="55" s="1"/>
  <c r="G132" i="53"/>
  <c r="F160" i="72"/>
  <c r="F146" i="72"/>
  <c r="F148" i="72" s="1"/>
  <c r="H77" i="83"/>
  <c r="G57" i="83"/>
  <c r="F46" i="55"/>
  <c r="F103" i="55" s="1"/>
  <c r="F229" i="55"/>
  <c r="G139" i="72"/>
  <c r="G144" i="72"/>
  <c r="G161" i="72"/>
  <c r="G162" i="72"/>
  <c r="J264" i="55"/>
  <c r="H151" i="55"/>
  <c r="G60" i="83"/>
  <c r="F49" i="55"/>
  <c r="F106" i="55" s="1"/>
  <c r="H58" i="81"/>
  <c r="G27" i="55"/>
  <c r="G84" i="55" s="1"/>
  <c r="G20" i="55"/>
  <c r="G77" i="55" s="1"/>
  <c r="H51" i="81"/>
  <c r="G68" i="55"/>
  <c r="F165" i="55"/>
  <c r="H224" i="55" s="1"/>
  <c r="H275" i="55"/>
  <c r="H60" i="81"/>
  <c r="G29" i="55"/>
  <c r="G86" i="55" s="1"/>
  <c r="G40" i="55"/>
  <c r="G97" i="55" s="1"/>
  <c r="H51" i="83"/>
  <c r="H40" i="55" s="1"/>
  <c r="H97" i="55" s="1"/>
  <c r="G75" i="84"/>
  <c r="G80" i="84" s="1"/>
  <c r="G31" i="72"/>
  <c r="G55" i="72" s="1"/>
  <c r="H85" i="81"/>
  <c r="H31" i="72" s="1"/>
  <c r="H55" i="72" s="1"/>
  <c r="G30" i="72"/>
  <c r="G54" i="72" s="1"/>
  <c r="H84" i="81"/>
  <c r="H30" i="72" s="1"/>
  <c r="H54" i="72" s="1"/>
  <c r="C138" i="29"/>
  <c r="C144" i="29" s="1"/>
  <c r="C33" i="29"/>
  <c r="C39" i="29" s="1"/>
  <c r="C168" i="29"/>
  <c r="C174" i="29" s="1"/>
  <c r="C123" i="29"/>
  <c r="C129" i="29" s="1"/>
  <c r="C153" i="29"/>
  <c r="C159" i="29" s="1"/>
  <c r="O58" i="22"/>
  <c r="P55" i="22" s="1"/>
  <c r="P56" i="22" s="1"/>
  <c r="I51" i="22"/>
  <c r="G49" i="22"/>
  <c r="M52" i="22"/>
  <c r="M51" i="22"/>
  <c r="H14" i="55" l="1"/>
  <c r="H71" i="55" s="1"/>
  <c r="I16" i="53"/>
  <c r="I69" i="53" s="1"/>
  <c r="G80" i="55"/>
  <c r="G14" i="84"/>
  <c r="G34" i="84" s="1"/>
  <c r="H25" i="55"/>
  <c r="H82" i="55" s="1"/>
  <c r="I27" i="53"/>
  <c r="I80" i="53" s="1"/>
  <c r="H28" i="55"/>
  <c r="H85" i="55" s="1"/>
  <c r="I30" i="53"/>
  <c r="H15" i="55"/>
  <c r="H72" i="55" s="1"/>
  <c r="I17" i="53"/>
  <c r="I70" i="53" s="1"/>
  <c r="H27" i="55"/>
  <c r="H84" i="55" s="1"/>
  <c r="I29" i="53"/>
  <c r="I82" i="53" s="1"/>
  <c r="H13" i="55"/>
  <c r="H70" i="55" s="1"/>
  <c r="I15" i="53"/>
  <c r="H19" i="55"/>
  <c r="H76" i="55" s="1"/>
  <c r="I21" i="53"/>
  <c r="H29" i="55"/>
  <c r="H86" i="55" s="1"/>
  <c r="I31" i="53"/>
  <c r="I84" i="53" s="1"/>
  <c r="H20" i="55"/>
  <c r="H77" i="55" s="1"/>
  <c r="I22" i="53"/>
  <c r="I75" i="53" s="1"/>
  <c r="H31" i="55"/>
  <c r="H88" i="55" s="1"/>
  <c r="I33" i="53"/>
  <c r="I86" i="53" s="1"/>
  <c r="H24" i="55"/>
  <c r="H81" i="55" s="1"/>
  <c r="I26" i="53"/>
  <c r="I79" i="53" s="1"/>
  <c r="H16" i="55"/>
  <c r="H73" i="55" s="1"/>
  <c r="I18" i="53"/>
  <c r="I71" i="53" s="1"/>
  <c r="I145" i="53"/>
  <c r="H90" i="84"/>
  <c r="H84" i="84"/>
  <c r="H85" i="84"/>
  <c r="H88" i="84"/>
  <c r="F45" i="84"/>
  <c r="F62" i="84" s="1"/>
  <c r="H89" i="84" s="1"/>
  <c r="H26" i="55"/>
  <c r="H83" i="55" s="1"/>
  <c r="I28" i="53"/>
  <c r="I81" i="53" s="1"/>
  <c r="H22" i="55"/>
  <c r="H79" i="55" s="1"/>
  <c r="I24" i="53"/>
  <c r="I77" i="53" s="1"/>
  <c r="H18" i="55"/>
  <c r="H75" i="55" s="1"/>
  <c r="I20" i="53"/>
  <c r="I73" i="53" s="1"/>
  <c r="H80" i="55"/>
  <c r="H14" i="84"/>
  <c r="H17" i="55"/>
  <c r="H74" i="55" s="1"/>
  <c r="I19" i="53"/>
  <c r="I72" i="53" s="1"/>
  <c r="H49" i="72"/>
  <c r="G95" i="72"/>
  <c r="G96" i="72"/>
  <c r="H95" i="72"/>
  <c r="H96" i="72"/>
  <c r="H63" i="72"/>
  <c r="H64" i="72"/>
  <c r="G64" i="72"/>
  <c r="G63" i="72"/>
  <c r="J210" i="55"/>
  <c r="F61" i="55"/>
  <c r="J197" i="55"/>
  <c r="J263" i="55"/>
  <c r="H150" i="55"/>
  <c r="I263" i="55"/>
  <c r="G150" i="55"/>
  <c r="I209" i="55" s="1"/>
  <c r="I257" i="55"/>
  <c r="G144" i="55"/>
  <c r="I203" i="55" s="1"/>
  <c r="G146" i="55"/>
  <c r="I205" i="55" s="1"/>
  <c r="I259" i="55"/>
  <c r="J257" i="55"/>
  <c r="H144" i="55"/>
  <c r="J259" i="55"/>
  <c r="H146" i="55"/>
  <c r="J205" i="55" s="1"/>
  <c r="G7" i="61"/>
  <c r="F289" i="55" s="1"/>
  <c r="F151" i="53"/>
  <c r="F153" i="53" s="1"/>
  <c r="D22" i="21" s="1"/>
  <c r="G51" i="61" s="1"/>
  <c r="I237" i="55"/>
  <c r="G124" i="55"/>
  <c r="I182" i="55" s="1"/>
  <c r="H124" i="55"/>
  <c r="J237" i="55"/>
  <c r="E167" i="72"/>
  <c r="E170" i="72" s="1"/>
  <c r="C19" i="21" s="1"/>
  <c r="F48" i="61" s="1"/>
  <c r="H121" i="55"/>
  <c r="J234" i="55"/>
  <c r="I241" i="55"/>
  <c r="G128" i="55"/>
  <c r="I186" i="55" s="1"/>
  <c r="H15" i="61"/>
  <c r="I6" i="61" s="1"/>
  <c r="I235" i="55"/>
  <c r="G122" i="55"/>
  <c r="I180" i="55" s="1"/>
  <c r="J153" i="72"/>
  <c r="G126" i="55"/>
  <c r="I184" i="55" s="1"/>
  <c r="I239" i="55"/>
  <c r="H122" i="55"/>
  <c r="J235" i="55"/>
  <c r="I140" i="72"/>
  <c r="I153" i="72"/>
  <c r="H78" i="72"/>
  <c r="H79" i="72"/>
  <c r="J154" i="72"/>
  <c r="J238" i="55"/>
  <c r="H125" i="55"/>
  <c r="J239" i="55"/>
  <c r="H126" i="55"/>
  <c r="G33" i="55"/>
  <c r="G65" i="55" s="1"/>
  <c r="I200" i="55" s="1"/>
  <c r="G136" i="53"/>
  <c r="E12" i="21" s="1"/>
  <c r="H38" i="61" s="1"/>
  <c r="I234" i="55"/>
  <c r="G121" i="55"/>
  <c r="I179" i="55" s="1"/>
  <c r="G125" i="55"/>
  <c r="I183" i="55" s="1"/>
  <c r="I238" i="55"/>
  <c r="J241" i="55"/>
  <c r="H128" i="55"/>
  <c r="G79" i="72"/>
  <c r="G78" i="72"/>
  <c r="I141" i="72" s="1"/>
  <c r="I154" i="72"/>
  <c r="B19" i="21"/>
  <c r="E48" i="61" s="1"/>
  <c r="E292" i="55"/>
  <c r="E302" i="55" s="1"/>
  <c r="E305" i="55" s="1"/>
  <c r="E307" i="55" s="1"/>
  <c r="G8" i="61"/>
  <c r="O64" i="22"/>
  <c r="P61" i="22" s="1"/>
  <c r="P62" i="22" s="1"/>
  <c r="P63" i="22" s="1"/>
  <c r="F9" i="61"/>
  <c r="E21" i="61"/>
  <c r="E42" i="61" s="1"/>
  <c r="G16" i="61"/>
  <c r="F290" i="55" s="1"/>
  <c r="E13" i="21"/>
  <c r="H39" i="61" s="1"/>
  <c r="D9" i="21"/>
  <c r="G35" i="61" s="1"/>
  <c r="H137" i="55"/>
  <c r="J250" i="55"/>
  <c r="F35" i="72"/>
  <c r="H157" i="72"/>
  <c r="F12" i="72"/>
  <c r="J247" i="55"/>
  <c r="H134" i="55"/>
  <c r="F28" i="84"/>
  <c r="H89" i="83"/>
  <c r="H37" i="84" s="1"/>
  <c r="G37" i="84"/>
  <c r="G140" i="55"/>
  <c r="I198" i="55" s="1"/>
  <c r="I253" i="55"/>
  <c r="G229" i="55"/>
  <c r="G160" i="72"/>
  <c r="G146" i="72"/>
  <c r="G148" i="72" s="1"/>
  <c r="E142" i="29"/>
  <c r="E172" i="29"/>
  <c r="E157" i="29"/>
  <c r="E37" i="29"/>
  <c r="E127" i="29"/>
  <c r="G93" i="55"/>
  <c r="F41" i="61"/>
  <c r="C9" i="69" s="1"/>
  <c r="G136" i="55"/>
  <c r="I194" i="55" s="1"/>
  <c r="I249" i="55"/>
  <c r="I278" i="55"/>
  <c r="G168" i="55"/>
  <c r="I227" i="55" s="1"/>
  <c r="H86" i="83"/>
  <c r="H120" i="55"/>
  <c r="J233" i="55"/>
  <c r="I236" i="55"/>
  <c r="G123" i="55"/>
  <c r="I181" i="55" s="1"/>
  <c r="I155" i="72"/>
  <c r="G71" i="72"/>
  <c r="G70" i="72"/>
  <c r="I142" i="72" s="1"/>
  <c r="H61" i="83"/>
  <c r="H50" i="55" s="1"/>
  <c r="H107" i="55" s="1"/>
  <c r="G50" i="55"/>
  <c r="G107" i="55" s="1"/>
  <c r="J245" i="55"/>
  <c r="H132" i="55"/>
  <c r="H138" i="55"/>
  <c r="J251" i="55"/>
  <c r="G120" i="55"/>
  <c r="I233" i="55"/>
  <c r="J249" i="55"/>
  <c r="H136" i="55"/>
  <c r="D12" i="21"/>
  <c r="G38" i="61" s="1"/>
  <c r="J278" i="55"/>
  <c r="H168" i="55"/>
  <c r="F145" i="55"/>
  <c r="H204" i="55" s="1"/>
  <c r="H258" i="55"/>
  <c r="J275" i="55"/>
  <c r="H165" i="55"/>
  <c r="G17" i="61"/>
  <c r="J155" i="72"/>
  <c r="H70" i="72"/>
  <c r="H71" i="72"/>
  <c r="I260" i="55"/>
  <c r="G147" i="55"/>
  <c r="I206" i="55" s="1"/>
  <c r="I240" i="55"/>
  <c r="G127" i="55"/>
  <c r="I185" i="55" s="1"/>
  <c r="I276" i="55"/>
  <c r="G166" i="55"/>
  <c r="I225" i="55" s="1"/>
  <c r="I274" i="55"/>
  <c r="G161" i="55"/>
  <c r="I220" i="55" s="1"/>
  <c r="E12" i="84"/>
  <c r="E31" i="84"/>
  <c r="H139" i="72"/>
  <c r="H162" i="72"/>
  <c r="H144" i="72"/>
  <c r="H161" i="72"/>
  <c r="G132" i="55"/>
  <c r="I190" i="55" s="1"/>
  <c r="I245" i="55"/>
  <c r="H267" i="55"/>
  <c r="F154" i="55"/>
  <c r="H213" i="55" s="1"/>
  <c r="H132" i="53"/>
  <c r="I265" i="55"/>
  <c r="G152" i="55"/>
  <c r="I211" i="55" s="1"/>
  <c r="H284" i="55"/>
  <c r="H178" i="55"/>
  <c r="H285" i="55"/>
  <c r="H62" i="83"/>
  <c r="H51" i="55" s="1"/>
  <c r="H108" i="55" s="1"/>
  <c r="G51" i="55"/>
  <c r="G108" i="55" s="1"/>
  <c r="H85" i="83"/>
  <c r="J253" i="55"/>
  <c r="H140" i="55"/>
  <c r="G159" i="72"/>
  <c r="G158" i="72"/>
  <c r="H134" i="53"/>
  <c r="E165" i="53"/>
  <c r="E167" i="53" s="1"/>
  <c r="E169" i="53" s="1"/>
  <c r="C22" i="21"/>
  <c r="F51" i="61" s="1"/>
  <c r="F86" i="84"/>
  <c r="F87" i="84"/>
  <c r="H93" i="55"/>
  <c r="D167" i="29"/>
  <c r="D122" i="29"/>
  <c r="D32" i="29"/>
  <c r="C15" i="21"/>
  <c r="D6" i="68" s="1"/>
  <c r="D152" i="29"/>
  <c r="D137" i="29"/>
  <c r="H130" i="55"/>
  <c r="J243" i="55"/>
  <c r="J262" i="55"/>
  <c r="H149" i="55"/>
  <c r="D8" i="21"/>
  <c r="G34" i="61" s="1"/>
  <c r="I244" i="55"/>
  <c r="G131" i="55"/>
  <c r="I189" i="55" s="1"/>
  <c r="J152" i="72"/>
  <c r="H32" i="72"/>
  <c r="J156" i="72" s="1"/>
  <c r="I275" i="55"/>
  <c r="G165" i="55"/>
  <c r="I224" i="55" s="1"/>
  <c r="H147" i="55"/>
  <c r="J260" i="55"/>
  <c r="H127" i="55"/>
  <c r="J240" i="55"/>
  <c r="J276" i="55"/>
  <c r="H166" i="55"/>
  <c r="J225" i="55" s="1"/>
  <c r="J274" i="55"/>
  <c r="H161" i="55"/>
  <c r="H266" i="55"/>
  <c r="F153" i="55"/>
  <c r="H212" i="55" s="1"/>
  <c r="N44" i="22"/>
  <c r="N45" i="22" s="1"/>
  <c r="H56" i="83"/>
  <c r="H45" i="55" s="1"/>
  <c r="H102" i="55" s="1"/>
  <c r="G45" i="55"/>
  <c r="G102" i="55" s="1"/>
  <c r="J265" i="55"/>
  <c r="H152" i="55"/>
  <c r="H273" i="55"/>
  <c r="F160" i="55"/>
  <c r="H219" i="55" s="1"/>
  <c r="H59" i="83"/>
  <c r="H48" i="55" s="1"/>
  <c r="H105" i="55" s="1"/>
  <c r="G48" i="55"/>
  <c r="G105" i="55" s="1"/>
  <c r="D141" i="29"/>
  <c r="D126" i="29"/>
  <c r="D36" i="29"/>
  <c r="D156" i="29"/>
  <c r="D171" i="29"/>
  <c r="G282" i="55"/>
  <c r="G283" i="55"/>
  <c r="H58" i="83"/>
  <c r="H47" i="55" s="1"/>
  <c r="H104" i="55" s="1"/>
  <c r="G47" i="55"/>
  <c r="G104" i="55" s="1"/>
  <c r="J261" i="55"/>
  <c r="H148" i="55"/>
  <c r="H88" i="83"/>
  <c r="H36" i="84" s="1"/>
  <c r="G36" i="84"/>
  <c r="I246" i="55"/>
  <c r="G133" i="55"/>
  <c r="I191" i="55" s="1"/>
  <c r="J226" i="55"/>
  <c r="G32" i="72"/>
  <c r="I156" i="72" s="1"/>
  <c r="D107" i="84"/>
  <c r="D109" i="84" s="1"/>
  <c r="D111" i="84" s="1"/>
  <c r="B23" i="21"/>
  <c r="E52" i="61" s="1"/>
  <c r="G138" i="55"/>
  <c r="I196" i="55" s="1"/>
  <c r="I251" i="55"/>
  <c r="H57" i="83"/>
  <c r="H46" i="55" s="1"/>
  <c r="H103" i="55" s="1"/>
  <c r="G46" i="55"/>
  <c r="G103" i="55" s="1"/>
  <c r="H135" i="55"/>
  <c r="J248" i="55"/>
  <c r="J242" i="55"/>
  <c r="H129" i="55"/>
  <c r="F158" i="55"/>
  <c r="H217" i="55" s="1"/>
  <c r="H271" i="55"/>
  <c r="I262" i="55"/>
  <c r="G149" i="55"/>
  <c r="I208" i="55" s="1"/>
  <c r="I242" i="55"/>
  <c r="G129" i="55"/>
  <c r="I187" i="55" s="1"/>
  <c r="H60" i="83"/>
  <c r="H49" i="55" s="1"/>
  <c r="H106" i="55" s="1"/>
  <c r="G49" i="55"/>
  <c r="G106" i="55" s="1"/>
  <c r="H268" i="55"/>
  <c r="F155" i="55"/>
  <c r="H214" i="55" s="1"/>
  <c r="G130" i="55"/>
  <c r="I188" i="55" s="1"/>
  <c r="I243" i="55"/>
  <c r="I248" i="55"/>
  <c r="G135" i="55"/>
  <c r="I193" i="55" s="1"/>
  <c r="H133" i="53"/>
  <c r="J244" i="55"/>
  <c r="H131" i="55"/>
  <c r="I152" i="72"/>
  <c r="H33" i="55"/>
  <c r="H123" i="55"/>
  <c r="J236" i="55"/>
  <c r="H84" i="83"/>
  <c r="H272" i="55"/>
  <c r="F159" i="55"/>
  <c r="H218" i="55" s="1"/>
  <c r="H87" i="83"/>
  <c r="H35" i="84" s="1"/>
  <c r="G35" i="84"/>
  <c r="G38" i="84"/>
  <c r="H90" i="83"/>
  <c r="H38" i="84" s="1"/>
  <c r="H55" i="83"/>
  <c r="H44" i="55" s="1"/>
  <c r="H101" i="55" s="1"/>
  <c r="G44" i="55"/>
  <c r="G101" i="55" s="1"/>
  <c r="I250" i="55"/>
  <c r="G137" i="55"/>
  <c r="I195" i="55" s="1"/>
  <c r="G134" i="55"/>
  <c r="I192" i="55" s="1"/>
  <c r="I247" i="55"/>
  <c r="F18" i="61"/>
  <c r="E96" i="84" s="1"/>
  <c r="H270" i="55"/>
  <c r="F157" i="55"/>
  <c r="H216" i="55" s="1"/>
  <c r="H269" i="55"/>
  <c r="F156" i="55"/>
  <c r="H215" i="55" s="1"/>
  <c r="H83" i="83"/>
  <c r="I261" i="55"/>
  <c r="G148" i="55"/>
  <c r="I207" i="55" s="1"/>
  <c r="H133" i="55"/>
  <c r="J246" i="55"/>
  <c r="I76" i="84"/>
  <c r="I77" i="84"/>
  <c r="F65" i="55"/>
  <c r="H200" i="55" s="1"/>
  <c r="F10" i="55"/>
  <c r="D33" i="29"/>
  <c r="D138" i="29"/>
  <c r="D123" i="29"/>
  <c r="D168" i="29"/>
  <c r="D153" i="29"/>
  <c r="P58" i="22"/>
  <c r="Q55" i="22" s="1"/>
  <c r="Q56" i="22" s="1"/>
  <c r="P57" i="22"/>
  <c r="N49" i="22"/>
  <c r="G52" i="22"/>
  <c r="I90" i="84" l="1"/>
  <c r="I84" i="84"/>
  <c r="I85" i="84"/>
  <c r="I88" i="84"/>
  <c r="G45" i="84"/>
  <c r="G62" i="84" s="1"/>
  <c r="I89" i="84" s="1"/>
  <c r="I119" i="53"/>
  <c r="J141" i="53"/>
  <c r="J142" i="53"/>
  <c r="I120" i="53"/>
  <c r="I63" i="53"/>
  <c r="I11" i="53" s="1"/>
  <c r="J146" i="53" s="1"/>
  <c r="I68" i="53"/>
  <c r="H75" i="84"/>
  <c r="H80" i="84" s="1"/>
  <c r="F13" i="21" s="1"/>
  <c r="I39" i="61" s="1"/>
  <c r="H34" i="84"/>
  <c r="E44" i="61"/>
  <c r="B10" i="69"/>
  <c r="C31" i="68" s="1"/>
  <c r="F12" i="61"/>
  <c r="E95" i="84"/>
  <c r="E98" i="84" s="1"/>
  <c r="E107" i="84" s="1"/>
  <c r="E109" i="84" s="1"/>
  <c r="E111" i="84" s="1"/>
  <c r="I132" i="53"/>
  <c r="J211" i="55"/>
  <c r="F292" i="55"/>
  <c r="F302" i="55" s="1"/>
  <c r="F305" i="55" s="1"/>
  <c r="F307" i="55" s="1"/>
  <c r="J227" i="55"/>
  <c r="J203" i="55"/>
  <c r="J209" i="55"/>
  <c r="F165" i="53"/>
  <c r="F167" i="53" s="1"/>
  <c r="F169" i="53" s="1"/>
  <c r="J206" i="55"/>
  <c r="J220" i="55"/>
  <c r="C18" i="21"/>
  <c r="F47" i="61" s="1"/>
  <c r="G10" i="55"/>
  <c r="I283" i="55" s="1"/>
  <c r="E54" i="61"/>
  <c r="J182" i="55"/>
  <c r="J191" i="55"/>
  <c r="J181" i="55"/>
  <c r="B25" i="21"/>
  <c r="C147" i="29" s="1"/>
  <c r="J198" i="55"/>
  <c r="J194" i="55"/>
  <c r="J185" i="55"/>
  <c r="G151" i="53"/>
  <c r="G153" i="53" s="1"/>
  <c r="J189" i="55"/>
  <c r="J183" i="55"/>
  <c r="J141" i="72"/>
  <c r="J140" i="72"/>
  <c r="J180" i="55"/>
  <c r="J142" i="72"/>
  <c r="J186" i="55"/>
  <c r="J184" i="55"/>
  <c r="J179" i="55"/>
  <c r="F167" i="72"/>
  <c r="E179" i="72"/>
  <c r="E181" i="72" s="1"/>
  <c r="E183" i="72" s="1"/>
  <c r="Q57" i="22"/>
  <c r="H7" i="61"/>
  <c r="G289" i="55" s="1"/>
  <c r="H16" i="61"/>
  <c r="G290" i="55" s="1"/>
  <c r="P64" i="22"/>
  <c r="Q61" i="22" s="1"/>
  <c r="G9" i="61"/>
  <c r="F21" i="61"/>
  <c r="F42" i="61" s="1"/>
  <c r="J193" i="55"/>
  <c r="G12" i="72"/>
  <c r="G35" i="72"/>
  <c r="I157" i="72"/>
  <c r="J77" i="84"/>
  <c r="J270" i="55"/>
  <c r="H157" i="55"/>
  <c r="N46" i="22"/>
  <c r="O43" i="22" s="1"/>
  <c r="O44" i="22" s="1"/>
  <c r="O46" i="22" s="1"/>
  <c r="P43" i="22" s="1"/>
  <c r="I15" i="61"/>
  <c r="H35" i="72"/>
  <c r="H12" i="72"/>
  <c r="J157" i="72"/>
  <c r="E32" i="29"/>
  <c r="D15" i="21"/>
  <c r="E152" i="29"/>
  <c r="E137" i="29"/>
  <c r="E167" i="29"/>
  <c r="E122" i="29"/>
  <c r="J188" i="55"/>
  <c r="D159" i="29"/>
  <c r="D174" i="29"/>
  <c r="J258" i="55"/>
  <c r="H145" i="55"/>
  <c r="J133" i="53"/>
  <c r="I273" i="55"/>
  <c r="G160" i="55"/>
  <c r="I219" i="55" s="1"/>
  <c r="J224" i="55"/>
  <c r="G41" i="61"/>
  <c r="D9" i="69" s="1"/>
  <c r="J196" i="55"/>
  <c r="H28" i="84"/>
  <c r="J285" i="55"/>
  <c r="J284" i="55"/>
  <c r="H17" i="61"/>
  <c r="H159" i="72"/>
  <c r="H158" i="72"/>
  <c r="J195" i="55"/>
  <c r="E138" i="29"/>
  <c r="E33" i="29"/>
  <c r="E123" i="29"/>
  <c r="E153" i="29"/>
  <c r="E168" i="29"/>
  <c r="I266" i="55"/>
  <c r="G153" i="55"/>
  <c r="I212" i="55" s="1"/>
  <c r="I134" i="53"/>
  <c r="I271" i="55"/>
  <c r="G158" i="55"/>
  <c r="I217" i="55" s="1"/>
  <c r="J187" i="55"/>
  <c r="I268" i="55"/>
  <c r="G155" i="55"/>
  <c r="I214" i="55" s="1"/>
  <c r="H229" i="55"/>
  <c r="I267" i="55"/>
  <c r="G154" i="55"/>
  <c r="I213" i="55" s="1"/>
  <c r="J139" i="72"/>
  <c r="J161" i="72"/>
  <c r="J162" i="72"/>
  <c r="J144" i="72"/>
  <c r="J208" i="55"/>
  <c r="J273" i="55"/>
  <c r="H160" i="55"/>
  <c r="E171" i="29"/>
  <c r="E126" i="29"/>
  <c r="E141" i="29"/>
  <c r="E36" i="29"/>
  <c r="E156" i="29"/>
  <c r="F141" i="29"/>
  <c r="F126" i="29"/>
  <c r="F36" i="29"/>
  <c r="F171" i="29"/>
  <c r="F156" i="29"/>
  <c r="G61" i="55"/>
  <c r="E8" i="21"/>
  <c r="H34" i="61" s="1"/>
  <c r="Q58" i="22"/>
  <c r="H283" i="55"/>
  <c r="H282" i="55"/>
  <c r="I75" i="84"/>
  <c r="I80" i="84" s="1"/>
  <c r="J266" i="55"/>
  <c r="H153" i="55"/>
  <c r="J212" i="55" s="1"/>
  <c r="H65" i="55"/>
  <c r="J200" i="55" s="1"/>
  <c r="H10" i="55"/>
  <c r="I133" i="53"/>
  <c r="J271" i="55"/>
  <c r="H158" i="55"/>
  <c r="J217" i="55" s="1"/>
  <c r="J268" i="55"/>
  <c r="H155" i="55"/>
  <c r="J207" i="55"/>
  <c r="I269" i="55"/>
  <c r="G156" i="55"/>
  <c r="I215" i="55" s="1"/>
  <c r="J267" i="55"/>
  <c r="H154" i="55"/>
  <c r="J213" i="55" s="1"/>
  <c r="D39" i="29"/>
  <c r="G18" i="61"/>
  <c r="G28" i="84"/>
  <c r="E9" i="21"/>
  <c r="H35" i="61" s="1"/>
  <c r="J178" i="55"/>
  <c r="I178" i="55"/>
  <c r="I285" i="55"/>
  <c r="I284" i="55"/>
  <c r="J190" i="55"/>
  <c r="I272" i="55"/>
  <c r="G159" i="55"/>
  <c r="I218" i="55" s="1"/>
  <c r="I258" i="55"/>
  <c r="G145" i="55"/>
  <c r="I204" i="55" s="1"/>
  <c r="F31" i="84"/>
  <c r="F12" i="84"/>
  <c r="J192" i="55"/>
  <c r="H160" i="72"/>
  <c r="H146" i="72"/>
  <c r="H148" i="72" s="1"/>
  <c r="H150" i="53"/>
  <c r="I139" i="72"/>
  <c r="I161" i="72"/>
  <c r="I162" i="72"/>
  <c r="I144" i="72"/>
  <c r="J76" i="84"/>
  <c r="J269" i="55"/>
  <c r="H156" i="55"/>
  <c r="I270" i="55"/>
  <c r="G157" i="55"/>
  <c r="I216" i="55" s="1"/>
  <c r="H136" i="53"/>
  <c r="D144" i="29"/>
  <c r="D129" i="29"/>
  <c r="H61" i="55"/>
  <c r="J134" i="53"/>
  <c r="G86" i="84"/>
  <c r="G87" i="84"/>
  <c r="F168" i="72"/>
  <c r="H8" i="61"/>
  <c r="J272" i="55"/>
  <c r="H159" i="55"/>
  <c r="J218" i="55" s="1"/>
  <c r="F157" i="29"/>
  <c r="F142" i="29"/>
  <c r="F172" i="29"/>
  <c r="F127" i="29"/>
  <c r="F37" i="29"/>
  <c r="H49" i="22"/>
  <c r="N50" i="22"/>
  <c r="J144" i="53" l="1"/>
  <c r="J140" i="53"/>
  <c r="I118" i="53"/>
  <c r="J84" i="84"/>
  <c r="H45" i="84"/>
  <c r="H62" i="84" s="1"/>
  <c r="J90" i="84"/>
  <c r="J85" i="84"/>
  <c r="J88" i="84"/>
  <c r="F44" i="61"/>
  <c r="C10" i="69"/>
  <c r="D31" i="68" s="1"/>
  <c r="E55" i="61"/>
  <c r="B25" i="69"/>
  <c r="C12" i="68" s="1"/>
  <c r="C23" i="21"/>
  <c r="G12" i="61"/>
  <c r="F95" i="84"/>
  <c r="H9" i="61"/>
  <c r="G95" i="84" s="1"/>
  <c r="F96" i="84"/>
  <c r="J219" i="55"/>
  <c r="D18" i="21"/>
  <c r="G47" i="61" s="1"/>
  <c r="G165" i="53"/>
  <c r="G167" i="53" s="1"/>
  <c r="G169" i="53" s="1"/>
  <c r="E22" i="21"/>
  <c r="H51" i="61" s="1"/>
  <c r="J215" i="55"/>
  <c r="I282" i="55"/>
  <c r="J16" i="61" s="1"/>
  <c r="I290" i="55" s="1"/>
  <c r="C41" i="29"/>
  <c r="C43" i="29" s="1"/>
  <c r="C162" i="29"/>
  <c r="C177" i="29"/>
  <c r="C23" i="68"/>
  <c r="C132" i="29"/>
  <c r="F170" i="72"/>
  <c r="D19" i="21" s="1"/>
  <c r="G48" i="61" s="1"/>
  <c r="J15" i="61"/>
  <c r="K6" i="61" s="1"/>
  <c r="J150" i="53" s="1"/>
  <c r="E174" i="29"/>
  <c r="I136" i="53"/>
  <c r="G12" i="21" s="1"/>
  <c r="J38" i="61" s="1"/>
  <c r="G292" i="55"/>
  <c r="G302" i="55" s="1"/>
  <c r="G305" i="55" s="1"/>
  <c r="G307" i="55" s="1"/>
  <c r="I16" i="61"/>
  <c r="J7" i="61" s="1"/>
  <c r="I289" i="55" s="1"/>
  <c r="I7" i="61"/>
  <c r="H289" i="55" s="1"/>
  <c r="Q62" i="22"/>
  <c r="Q63" i="22" s="1"/>
  <c r="H18" i="61"/>
  <c r="G21" i="61"/>
  <c r="G42" i="61" s="1"/>
  <c r="O45" i="22"/>
  <c r="F9" i="21"/>
  <c r="I35" i="61" s="1"/>
  <c r="F168" i="29"/>
  <c r="F138" i="29"/>
  <c r="F33" i="29"/>
  <c r="F123" i="29"/>
  <c r="F153" i="29"/>
  <c r="F152" i="29"/>
  <c r="F167" i="29"/>
  <c r="F32" i="29"/>
  <c r="F137" i="29"/>
  <c r="E15" i="21"/>
  <c r="F6" i="68" s="1"/>
  <c r="F122" i="29"/>
  <c r="K15" i="61"/>
  <c r="E129" i="29"/>
  <c r="E6" i="68"/>
  <c r="P44" i="22"/>
  <c r="G12" i="84"/>
  <c r="G31" i="84"/>
  <c r="H41" i="61"/>
  <c r="E9" i="69" s="1"/>
  <c r="F8" i="21"/>
  <c r="I34" i="61" s="1"/>
  <c r="I17" i="61"/>
  <c r="E39" i="29"/>
  <c r="J158" i="72"/>
  <c r="J159" i="72"/>
  <c r="J216" i="55"/>
  <c r="I160" i="72"/>
  <c r="I146" i="72"/>
  <c r="I148" i="72" s="1"/>
  <c r="G167" i="72"/>
  <c r="I229" i="55"/>
  <c r="F12" i="21"/>
  <c r="I38" i="61" s="1"/>
  <c r="J214" i="55"/>
  <c r="J282" i="55"/>
  <c r="J283" i="55"/>
  <c r="G168" i="72"/>
  <c r="I8" i="61"/>
  <c r="E144" i="29"/>
  <c r="J160" i="72"/>
  <c r="J146" i="72"/>
  <c r="J148" i="72" s="1"/>
  <c r="I158" i="72"/>
  <c r="I159" i="72"/>
  <c r="G127" i="29"/>
  <c r="G157" i="29"/>
  <c r="G37" i="29"/>
  <c r="G172" i="29"/>
  <c r="G142" i="29"/>
  <c r="H86" i="84"/>
  <c r="H87" i="84"/>
  <c r="G13" i="21"/>
  <c r="J39" i="61" s="1"/>
  <c r="H12" i="84"/>
  <c r="H31" i="84"/>
  <c r="J204" i="55"/>
  <c r="E159" i="29"/>
  <c r="H151" i="53"/>
  <c r="H153" i="53" s="1"/>
  <c r="F22" i="21" s="1"/>
  <c r="I51" i="61" s="1"/>
  <c r="J6" i="61"/>
  <c r="H52" i="22"/>
  <c r="N51" i="22"/>
  <c r="N52" i="22"/>
  <c r="J145" i="53" l="1"/>
  <c r="J132" i="53"/>
  <c r="J136" i="53" s="1"/>
  <c r="J89" i="84"/>
  <c r="J75" i="84"/>
  <c r="J80" i="84" s="1"/>
  <c r="H13" i="21" s="1"/>
  <c r="K39" i="61" s="1"/>
  <c r="H12" i="61"/>
  <c r="C25" i="21"/>
  <c r="D177" i="29" s="1"/>
  <c r="F52" i="61"/>
  <c r="F54" i="61" s="1"/>
  <c r="F55" i="61" s="1"/>
  <c r="C24" i="69" s="1"/>
  <c r="G44" i="61"/>
  <c r="D10" i="69"/>
  <c r="E31" i="68" s="1"/>
  <c r="E56" i="61"/>
  <c r="B24" i="69" s="1"/>
  <c r="C25" i="69"/>
  <c r="D12" i="68" s="1"/>
  <c r="I9" i="61"/>
  <c r="H95" i="84" s="1"/>
  <c r="G96" i="84"/>
  <c r="F98" i="84"/>
  <c r="D41" i="29"/>
  <c r="D43" i="29" s="1"/>
  <c r="D132" i="29"/>
  <c r="I18" i="61"/>
  <c r="J229" i="55"/>
  <c r="F179" i="72"/>
  <c r="F181" i="72" s="1"/>
  <c r="F183" i="72" s="1"/>
  <c r="E18" i="21"/>
  <c r="H47" i="61" s="1"/>
  <c r="I151" i="53"/>
  <c r="F129" i="29"/>
  <c r="F174" i="29"/>
  <c r="I41" i="61"/>
  <c r="F9" i="69" s="1"/>
  <c r="F39" i="29"/>
  <c r="F159" i="29"/>
  <c r="H290" i="55"/>
  <c r="H292" i="55" s="1"/>
  <c r="Q64" i="22"/>
  <c r="K16" i="61"/>
  <c r="J290" i="55" s="1"/>
  <c r="K17" i="61"/>
  <c r="J17" i="61"/>
  <c r="P45" i="22"/>
  <c r="K7" i="61"/>
  <c r="J289" i="55" s="1"/>
  <c r="H21" i="61"/>
  <c r="H42" i="61" s="1"/>
  <c r="P46" i="22"/>
  <c r="Q43" i="22" s="1"/>
  <c r="Q44" i="22" s="1"/>
  <c r="G9" i="21"/>
  <c r="J35" i="61" s="1"/>
  <c r="H165" i="53"/>
  <c r="H167" i="53" s="1"/>
  <c r="H169" i="53" s="1"/>
  <c r="H167" i="72"/>
  <c r="G171" i="29"/>
  <c r="G36" i="29"/>
  <c r="G156" i="29"/>
  <c r="G141" i="29"/>
  <c r="G126" i="29"/>
  <c r="G170" i="72"/>
  <c r="H168" i="72"/>
  <c r="J8" i="61"/>
  <c r="I87" i="84"/>
  <c r="I86" i="84"/>
  <c r="G123" i="29"/>
  <c r="G168" i="29"/>
  <c r="G33" i="29"/>
  <c r="G153" i="29"/>
  <c r="G138" i="29"/>
  <c r="H9" i="21"/>
  <c r="K35" i="61" s="1"/>
  <c r="J87" i="84"/>
  <c r="J86" i="84"/>
  <c r="G8" i="21"/>
  <c r="J34" i="61" s="1"/>
  <c r="G137" i="29"/>
  <c r="F15" i="21"/>
  <c r="G6" i="68" s="1"/>
  <c r="G122" i="29"/>
  <c r="G167" i="29"/>
  <c r="G32" i="29"/>
  <c r="G152" i="29"/>
  <c r="J151" i="53"/>
  <c r="J153" i="53" s="1"/>
  <c r="H22" i="21" s="1"/>
  <c r="K51" i="61" s="1"/>
  <c r="I292" i="55"/>
  <c r="H141" i="29"/>
  <c r="H126" i="29"/>
  <c r="H156" i="29"/>
  <c r="H36" i="29"/>
  <c r="H171" i="29"/>
  <c r="H127" i="29"/>
  <c r="H172" i="29"/>
  <c r="H37" i="29"/>
  <c r="H157" i="29"/>
  <c r="H142" i="29"/>
  <c r="I150" i="53"/>
  <c r="H12" i="21"/>
  <c r="K38" i="61" s="1"/>
  <c r="G98" i="84"/>
  <c r="F144" i="29"/>
  <c r="O49" i="22"/>
  <c r="I49" i="22"/>
  <c r="D147" i="29" l="1"/>
  <c r="D23" i="68"/>
  <c r="D162" i="29"/>
  <c r="I12" i="61"/>
  <c r="D11" i="68"/>
  <c r="D13" i="68" s="1"/>
  <c r="H44" i="61"/>
  <c r="E10" i="69"/>
  <c r="F31" i="68" s="1"/>
  <c r="C27" i="69"/>
  <c r="C11" i="68"/>
  <c r="C29" i="68"/>
  <c r="B27" i="69"/>
  <c r="D29" i="68"/>
  <c r="J41" i="21"/>
  <c r="D11" i="62"/>
  <c r="F107" i="84"/>
  <c r="F109" i="84" s="1"/>
  <c r="F111" i="84" s="1"/>
  <c r="D23" i="21"/>
  <c r="J9" i="61"/>
  <c r="I95" i="84" s="1"/>
  <c r="H96" i="84"/>
  <c r="H98" i="84" s="1"/>
  <c r="H107" i="84" s="1"/>
  <c r="H109" i="84" s="1"/>
  <c r="H111" i="84" s="1"/>
  <c r="H8" i="21"/>
  <c r="I21" i="61"/>
  <c r="I42" i="61" s="1"/>
  <c r="I153" i="53"/>
  <c r="G22" i="21" s="1"/>
  <c r="J51" i="61" s="1"/>
  <c r="Q45" i="22"/>
  <c r="J41" i="61"/>
  <c r="G9" i="69" s="1"/>
  <c r="G159" i="29"/>
  <c r="G39" i="29"/>
  <c r="G144" i="29"/>
  <c r="G174" i="29"/>
  <c r="G129" i="29"/>
  <c r="K8" i="61"/>
  <c r="J167" i="72" s="1"/>
  <c r="J292" i="55"/>
  <c r="F18" i="21"/>
  <c r="I47" i="61" s="1"/>
  <c r="H302" i="55"/>
  <c r="H305" i="55" s="1"/>
  <c r="H307" i="55" s="1"/>
  <c r="J168" i="72"/>
  <c r="I168" i="72"/>
  <c r="H170" i="72"/>
  <c r="F19" i="21" s="1"/>
  <c r="I48" i="61" s="1"/>
  <c r="K18" i="61"/>
  <c r="J18" i="61"/>
  <c r="I96" i="84" s="1"/>
  <c r="J165" i="53"/>
  <c r="J167" i="53" s="1"/>
  <c r="J169" i="53" s="1"/>
  <c r="I302" i="55"/>
  <c r="I305" i="55" s="1"/>
  <c r="I307" i="55" s="1"/>
  <c r="G18" i="21"/>
  <c r="J47" i="61" s="1"/>
  <c r="I153" i="29"/>
  <c r="I168" i="29"/>
  <c r="I123" i="29"/>
  <c r="I138" i="29"/>
  <c r="I33" i="29"/>
  <c r="H168" i="29"/>
  <c r="H33" i="29"/>
  <c r="H138" i="29"/>
  <c r="H153" i="29"/>
  <c r="H123" i="29"/>
  <c r="I156" i="29"/>
  <c r="I141" i="29"/>
  <c r="I126" i="29"/>
  <c r="I171" i="29"/>
  <c r="I36" i="29"/>
  <c r="I167" i="72"/>
  <c r="I157" i="29"/>
  <c r="I37" i="29"/>
  <c r="I142" i="29"/>
  <c r="I127" i="29"/>
  <c r="I172" i="29"/>
  <c r="E23" i="21"/>
  <c r="H52" i="61" s="1"/>
  <c r="G107" i="84"/>
  <c r="G109" i="84" s="1"/>
  <c r="G111" i="84" s="1"/>
  <c r="H122" i="29"/>
  <c r="H152" i="29"/>
  <c r="H167" i="29"/>
  <c r="H137" i="29"/>
  <c r="G15" i="21"/>
  <c r="H6" i="68" s="1"/>
  <c r="H32" i="29"/>
  <c r="Q46" i="22"/>
  <c r="E19" i="21"/>
  <c r="H48" i="61" s="1"/>
  <c r="G179" i="72"/>
  <c r="G181" i="72" s="1"/>
  <c r="G183" i="72" s="1"/>
  <c r="O50" i="22"/>
  <c r="I52" i="22"/>
  <c r="I98" i="84" l="1"/>
  <c r="J12" i="61"/>
  <c r="D25" i="21"/>
  <c r="E162" i="29" s="1"/>
  <c r="G52" i="61"/>
  <c r="G54" i="61" s="1"/>
  <c r="G55" i="61" s="1"/>
  <c r="D24" i="69" s="1"/>
  <c r="E29" i="68" s="1"/>
  <c r="I152" i="29"/>
  <c r="K34" i="61"/>
  <c r="K41" i="61" s="1"/>
  <c r="H9" i="69" s="1"/>
  <c r="I44" i="61"/>
  <c r="F10" i="69"/>
  <c r="G31" i="68" s="1"/>
  <c r="K21" i="61"/>
  <c r="K42" i="61" s="1"/>
  <c r="J96" i="84"/>
  <c r="I32" i="29"/>
  <c r="I39" i="29" s="1"/>
  <c r="I167" i="29"/>
  <c r="I174" i="29" s="1"/>
  <c r="I137" i="29"/>
  <c r="I144" i="29" s="1"/>
  <c r="I122" i="29"/>
  <c r="I129" i="29" s="1"/>
  <c r="H15" i="21"/>
  <c r="I6" i="68" s="1"/>
  <c r="H144" i="29"/>
  <c r="I165" i="53"/>
  <c r="I167" i="53" s="1"/>
  <c r="I169" i="53" s="1"/>
  <c r="H18" i="21"/>
  <c r="K47" i="61" s="1"/>
  <c r="H174" i="29"/>
  <c r="I170" i="72"/>
  <c r="I179" i="72" s="1"/>
  <c r="I181" i="72" s="1"/>
  <c r="I183" i="72" s="1"/>
  <c r="H159" i="29"/>
  <c r="J302" i="55"/>
  <c r="J305" i="55" s="1"/>
  <c r="J307" i="55" s="1"/>
  <c r="I159" i="29"/>
  <c r="H129" i="29"/>
  <c r="H39" i="29"/>
  <c r="F23" i="21"/>
  <c r="J170" i="72"/>
  <c r="H19" i="21" s="1"/>
  <c r="K48" i="61" s="1"/>
  <c r="H179" i="72"/>
  <c r="H181" i="72" s="1"/>
  <c r="H183" i="72" s="1"/>
  <c r="H54" i="61"/>
  <c r="E25" i="21"/>
  <c r="F132" i="29" s="1"/>
  <c r="K9" i="61"/>
  <c r="J21" i="61"/>
  <c r="J42" i="61" s="1"/>
  <c r="G23" i="21"/>
  <c r="J52" i="61" s="1"/>
  <c r="I107" i="84"/>
  <c r="I109" i="84" s="1"/>
  <c r="I111" i="84" s="1"/>
  <c r="O51" i="22"/>
  <c r="O52" i="22"/>
  <c r="E132" i="29" l="1"/>
  <c r="E23" i="68"/>
  <c r="E147" i="29"/>
  <c r="E177" i="29"/>
  <c r="D25" i="69"/>
  <c r="E12" i="68" s="1"/>
  <c r="F25" i="21"/>
  <c r="G147" i="29" s="1"/>
  <c r="I52" i="61"/>
  <c r="I54" i="61" s="1"/>
  <c r="E41" i="29"/>
  <c r="E43" i="29" s="1"/>
  <c r="E11" i="68"/>
  <c r="E13" i="68" s="1"/>
  <c r="K44" i="61"/>
  <c r="H10" i="69"/>
  <c r="J44" i="61"/>
  <c r="G10" i="69"/>
  <c r="H31" i="68" s="1"/>
  <c r="H55" i="61"/>
  <c r="E24" i="69" s="1"/>
  <c r="F29" i="68" s="1"/>
  <c r="E25" i="69"/>
  <c r="K12" i="61"/>
  <c r="J95" i="84"/>
  <c r="J98" i="84" s="1"/>
  <c r="G19" i="21"/>
  <c r="J179" i="72"/>
  <c r="J181" i="72" s="1"/>
  <c r="J183" i="72" s="1"/>
  <c r="G162" i="29"/>
  <c r="G177" i="29"/>
  <c r="G23" i="68"/>
  <c r="F23" i="68"/>
  <c r="F177" i="29"/>
  <c r="G41" i="29"/>
  <c r="G43" i="29" s="1"/>
  <c r="G132" i="29"/>
  <c r="F162" i="29"/>
  <c r="F41" i="29"/>
  <c r="F43" i="29" s="1"/>
  <c r="F147" i="29"/>
  <c r="P49" i="22"/>
  <c r="I31" i="68" l="1"/>
  <c r="D27" i="69"/>
  <c r="F12" i="68"/>
  <c r="G25" i="21"/>
  <c r="H23" i="68" s="1"/>
  <c r="J48" i="61"/>
  <c r="J54" i="61" s="1"/>
  <c r="J55" i="61" s="1"/>
  <c r="G24" i="69" s="1"/>
  <c r="H29" i="68" s="1"/>
  <c r="F11" i="68"/>
  <c r="I55" i="61"/>
  <c r="F24" i="69" s="1"/>
  <c r="G29" i="68" s="1"/>
  <c r="F25" i="69"/>
  <c r="G12" i="68" s="1"/>
  <c r="G25" i="69"/>
  <c r="E27" i="69"/>
  <c r="H23" i="21"/>
  <c r="J107" i="84"/>
  <c r="J109" i="84" s="1"/>
  <c r="J111" i="84" s="1"/>
  <c r="P50" i="22"/>
  <c r="H177" i="29" l="1"/>
  <c r="H162" i="29"/>
  <c r="F13" i="68"/>
  <c r="H41" i="29"/>
  <c r="H43" i="29" s="1"/>
  <c r="H147" i="29"/>
  <c r="H132" i="29"/>
  <c r="H12" i="68"/>
  <c r="H25" i="21"/>
  <c r="I162" i="29" s="1"/>
  <c r="K52" i="61"/>
  <c r="K54" i="61" s="1"/>
  <c r="K55" i="61" s="1"/>
  <c r="H24" i="69" s="1"/>
  <c r="I29" i="68" s="1"/>
  <c r="F27" i="69"/>
  <c r="G11" i="68"/>
  <c r="G13" i="68" s="1"/>
  <c r="G27" i="69"/>
  <c r="H11" i="68"/>
  <c r="H13" i="68" s="1"/>
  <c r="P51" i="22"/>
  <c r="P52" i="22"/>
  <c r="I177" i="29" l="1"/>
  <c r="I41" i="29"/>
  <c r="I43" i="29" s="1"/>
  <c r="I132" i="29"/>
  <c r="I23" i="68"/>
  <c r="I147" i="29"/>
  <c r="H25" i="69"/>
  <c r="I12" i="68" s="1"/>
  <c r="I13" i="68" s="1"/>
  <c r="I11" i="68"/>
  <c r="Q49" i="22"/>
  <c r="H27" i="69" l="1"/>
  <c r="H31" i="69" s="1"/>
  <c r="Q50" i="22"/>
  <c r="Q51" i="22" l="1"/>
  <c r="Q52" i="22"/>
  <c r="F7" i="57"/>
  <c r="D5" i="62"/>
  <c r="F5" i="62" l="1"/>
  <c r="F12" i="62" s="1"/>
  <c r="E19" i="62" s="1"/>
  <c r="C16" i="68"/>
  <c r="D12" i="62"/>
  <c r="C37" i="22"/>
  <c r="E20" i="62"/>
  <c r="C94" i="29" l="1"/>
  <c r="C71" i="29"/>
  <c r="C83" i="29"/>
  <c r="D22" i="29"/>
  <c r="E21" i="62"/>
  <c r="E22" i="62" s="1"/>
  <c r="C15" i="29"/>
  <c r="D38" i="22"/>
  <c r="D66" i="22" s="1"/>
  <c r="C65" i="22"/>
  <c r="B13" i="69" s="1"/>
  <c r="K37" i="22"/>
  <c r="F38" i="22"/>
  <c r="F66" i="22" s="1"/>
  <c r="I38" i="22"/>
  <c r="I66" i="22" s="1"/>
  <c r="C38" i="22"/>
  <c r="C40" i="22" s="1"/>
  <c r="G38" i="22"/>
  <c r="G66" i="22" s="1"/>
  <c r="E38" i="22"/>
  <c r="E66" i="22" s="1"/>
  <c r="H38" i="22"/>
  <c r="H66" i="22" s="1"/>
  <c r="C10" i="68"/>
  <c r="D4" i="23"/>
  <c r="B34" i="69"/>
  <c r="C34" i="69" s="1"/>
  <c r="D34" i="69" s="1"/>
  <c r="E34" i="69" s="1"/>
  <c r="F34" i="69" s="1"/>
  <c r="G34" i="69" s="1"/>
  <c r="H34" i="69" s="1"/>
  <c r="C9" i="68"/>
  <c r="C68" i="22" l="1"/>
  <c r="E17" i="22" s="1"/>
  <c r="E23" i="22" s="1"/>
  <c r="B35" i="21" s="1"/>
  <c r="B36" i="21" s="1"/>
  <c r="D37" i="22"/>
  <c r="G14" i="69"/>
  <c r="G42" i="21"/>
  <c r="C14" i="69"/>
  <c r="C42" i="21"/>
  <c r="D14" i="69"/>
  <c r="D42" i="21"/>
  <c r="E14" i="69"/>
  <c r="E42" i="21"/>
  <c r="H14" i="69"/>
  <c r="H42" i="21"/>
  <c r="C10" i="23"/>
  <c r="D8" i="23"/>
  <c r="F14" i="69"/>
  <c r="F42" i="21"/>
  <c r="K65" i="22"/>
  <c r="K38" i="22"/>
  <c r="C39" i="22"/>
  <c r="C66" i="22"/>
  <c r="C7" i="68"/>
  <c r="C13" i="68" s="1"/>
  <c r="B33" i="69"/>
  <c r="C176" i="29" l="1"/>
  <c r="C178" i="29" s="1"/>
  <c r="C179" i="29" s="1"/>
  <c r="C24" i="68"/>
  <c r="C131" i="29"/>
  <c r="C133" i="29" s="1"/>
  <c r="C134" i="29" s="1"/>
  <c r="C161" i="29"/>
  <c r="C163" i="29" s="1"/>
  <c r="C164" i="29" s="1"/>
  <c r="C146" i="29"/>
  <c r="C148" i="29" s="1"/>
  <c r="C149" i="29" s="1"/>
  <c r="B38" i="21"/>
  <c r="B40" i="21" s="1"/>
  <c r="C109" i="29" s="1"/>
  <c r="C110" i="29" s="1"/>
  <c r="G60" i="29"/>
  <c r="H11" i="29"/>
  <c r="H96" i="29"/>
  <c r="F96" i="22"/>
  <c r="J11" i="29"/>
  <c r="J96" i="29"/>
  <c r="H96" i="22"/>
  <c r="I60" i="29"/>
  <c r="D96" i="22"/>
  <c r="F96" i="29"/>
  <c r="F11" i="29"/>
  <c r="E60" i="29"/>
  <c r="G96" i="22"/>
  <c r="I96" i="29"/>
  <c r="H60" i="29"/>
  <c r="I11" i="29"/>
  <c r="K66" i="22"/>
  <c r="B97" i="22" s="1"/>
  <c r="K39" i="22"/>
  <c r="C33" i="69"/>
  <c r="C67" i="22"/>
  <c r="D39" i="22"/>
  <c r="F18" i="23"/>
  <c r="F21" i="23"/>
  <c r="F26" i="23"/>
  <c r="F30" i="23"/>
  <c r="F22" i="23"/>
  <c r="F17" i="23"/>
  <c r="F20" i="23"/>
  <c r="F25" i="23"/>
  <c r="F29" i="23"/>
  <c r="F33" i="23"/>
  <c r="F37" i="23"/>
  <c r="F27" i="23"/>
  <c r="F41" i="23"/>
  <c r="F45" i="23"/>
  <c r="F47" i="23"/>
  <c r="F51" i="23"/>
  <c r="F55" i="23"/>
  <c r="F59" i="23"/>
  <c r="F63" i="23"/>
  <c r="F67" i="23"/>
  <c r="F28" i="23"/>
  <c r="F40" i="23"/>
  <c r="F44" i="23"/>
  <c r="F16" i="23"/>
  <c r="F23" i="23"/>
  <c r="F31" i="23"/>
  <c r="F35" i="23"/>
  <c r="F39" i="23"/>
  <c r="F43" i="23"/>
  <c r="F49" i="23"/>
  <c r="F53" i="23"/>
  <c r="F57" i="23"/>
  <c r="F46" i="23"/>
  <c r="F61" i="23"/>
  <c r="F65" i="23"/>
  <c r="F69" i="23"/>
  <c r="F32" i="23"/>
  <c r="F48" i="23"/>
  <c r="F56" i="23"/>
  <c r="F60" i="23"/>
  <c r="F68" i="23"/>
  <c r="F38" i="23"/>
  <c r="F50" i="23"/>
  <c r="F62" i="23"/>
  <c r="F19" i="23"/>
  <c r="F66" i="23"/>
  <c r="F58" i="23"/>
  <c r="F54" i="23"/>
  <c r="F42" i="23"/>
  <c r="F52" i="23"/>
  <c r="F24" i="23"/>
  <c r="F34" i="23"/>
  <c r="F36" i="23"/>
  <c r="F64" i="23"/>
  <c r="F60" i="29"/>
  <c r="E96" i="22"/>
  <c r="G11" i="29"/>
  <c r="G96" i="29"/>
  <c r="E96" i="29"/>
  <c r="E11" i="29"/>
  <c r="C96" i="22"/>
  <c r="D60" i="29"/>
  <c r="D65" i="22"/>
  <c r="C13" i="69" s="1"/>
  <c r="C15" i="69" s="1"/>
  <c r="D40" i="22"/>
  <c r="B14" i="69"/>
  <c r="B15" i="69" s="1"/>
  <c r="B42" i="21"/>
  <c r="K40" i="22"/>
  <c r="D10" i="23"/>
  <c r="D33" i="69" l="1"/>
  <c r="F10" i="23"/>
  <c r="E10" i="23" s="1"/>
  <c r="E39" i="22"/>
  <c r="D67" i="22"/>
  <c r="K67" i="22"/>
  <c r="D68" i="22"/>
  <c r="F17" i="22" s="1"/>
  <c r="F23" i="22" s="1"/>
  <c r="C35" i="21" s="1"/>
  <c r="C36" i="21" s="1"/>
  <c r="E37" i="22"/>
  <c r="D11" i="29"/>
  <c r="B96" i="22"/>
  <c r="C45" i="29"/>
  <c r="C47" i="29" s="1"/>
  <c r="C60" i="29"/>
  <c r="D96" i="29"/>
  <c r="B45" i="21"/>
  <c r="K68" i="22"/>
  <c r="L37" i="22"/>
  <c r="D146" i="29" l="1"/>
  <c r="D148" i="29" s="1"/>
  <c r="D149" i="29" s="1"/>
  <c r="D161" i="29"/>
  <c r="D163" i="29" s="1"/>
  <c r="D164" i="29" s="1"/>
  <c r="D176" i="29"/>
  <c r="D178" i="29" s="1"/>
  <c r="D179" i="29" s="1"/>
  <c r="D131" i="29"/>
  <c r="D133" i="29" s="1"/>
  <c r="D134" i="29" s="1"/>
  <c r="D24" i="68"/>
  <c r="C38" i="21"/>
  <c r="C40" i="21" s="1"/>
  <c r="D45" i="29"/>
  <c r="D47" i="29" s="1"/>
  <c r="G10" i="23"/>
  <c r="C11" i="23" s="1"/>
  <c r="E65" i="22"/>
  <c r="D13" i="69" s="1"/>
  <c r="D15" i="69" s="1"/>
  <c r="E40" i="22"/>
  <c r="F39" i="22"/>
  <c r="E67" i="22"/>
  <c r="L65" i="22"/>
  <c r="L38" i="22"/>
  <c r="E33" i="69"/>
  <c r="D109" i="29" l="1"/>
  <c r="D110" i="29" s="1"/>
  <c r="C45" i="21"/>
  <c r="D11" i="23"/>
  <c r="L66" i="22"/>
  <c r="C97" i="22" s="1"/>
  <c r="L39" i="22"/>
  <c r="F67" i="22"/>
  <c r="G39" i="22"/>
  <c r="F33" i="69"/>
  <c r="L40" i="22"/>
  <c r="F37" i="22"/>
  <c r="E68" i="22"/>
  <c r="G17" i="22" s="1"/>
  <c r="G23" i="22" s="1"/>
  <c r="D35" i="21" s="1"/>
  <c r="D36" i="21" s="1"/>
  <c r="E146" i="29" l="1"/>
  <c r="E148" i="29" s="1"/>
  <c r="E149" i="29" s="1"/>
  <c r="E176" i="29"/>
  <c r="E178" i="29" s="1"/>
  <c r="E179" i="29" s="1"/>
  <c r="E131" i="29"/>
  <c r="E133" i="29" s="1"/>
  <c r="E134" i="29" s="1"/>
  <c r="E24" i="68"/>
  <c r="E161" i="29"/>
  <c r="E163" i="29" s="1"/>
  <c r="E164" i="29" s="1"/>
  <c r="D38" i="21"/>
  <c r="D40" i="21" s="1"/>
  <c r="E45" i="29"/>
  <c r="E47" i="29" s="1"/>
  <c r="F11" i="23"/>
  <c r="E11" i="23" s="1"/>
  <c r="L67" i="22"/>
  <c r="F65" i="22"/>
  <c r="E13" i="69" s="1"/>
  <c r="E15" i="69" s="1"/>
  <c r="F40" i="22"/>
  <c r="G33" i="69"/>
  <c r="G67" i="22"/>
  <c r="H39" i="22"/>
  <c r="L68" i="22"/>
  <c r="M37" i="22"/>
  <c r="E109" i="29" l="1"/>
  <c r="E110" i="29" s="1"/>
  <c r="D45" i="21"/>
  <c r="G11" i="23"/>
  <c r="C12" i="23" s="1"/>
  <c r="D12" i="23" s="1"/>
  <c r="M65" i="22"/>
  <c r="M38" i="22"/>
  <c r="M40" i="22" s="1"/>
  <c r="G37" i="22"/>
  <c r="F68" i="22"/>
  <c r="H17" i="22" s="1"/>
  <c r="H23" i="22" s="1"/>
  <c r="E35" i="21" s="1"/>
  <c r="E36" i="21" s="1"/>
  <c r="I39" i="22"/>
  <c r="I67" i="22" s="1"/>
  <c r="H67" i="22"/>
  <c r="H33" i="69"/>
  <c r="F24" i="68" l="1"/>
  <c r="F176" i="29"/>
  <c r="F178" i="29" s="1"/>
  <c r="F179" i="29" s="1"/>
  <c r="F146" i="29"/>
  <c r="F148" i="29" s="1"/>
  <c r="F149" i="29" s="1"/>
  <c r="F131" i="29"/>
  <c r="F133" i="29" s="1"/>
  <c r="F134" i="29" s="1"/>
  <c r="F161" i="29"/>
  <c r="F163" i="29" s="1"/>
  <c r="F164" i="29" s="1"/>
  <c r="E38" i="21"/>
  <c r="E40" i="21" s="1"/>
  <c r="F45" i="29"/>
  <c r="F47" i="29" s="1"/>
  <c r="F12" i="23"/>
  <c r="E12" i="23" s="1"/>
  <c r="M68" i="22"/>
  <c r="N37" i="22"/>
  <c r="G65" i="22"/>
  <c r="F13" i="69" s="1"/>
  <c r="F15" i="69" s="1"/>
  <c r="G40" i="22"/>
  <c r="M66" i="22"/>
  <c r="D97" i="22" s="1"/>
  <c r="M39" i="22"/>
  <c r="F109" i="29" l="1"/>
  <c r="F110" i="29" s="1"/>
  <c r="E45" i="21"/>
  <c r="G12" i="23"/>
  <c r="C13" i="23" s="1"/>
  <c r="G68" i="22"/>
  <c r="I17" i="22" s="1"/>
  <c r="I23" i="22" s="1"/>
  <c r="F35" i="21" s="1"/>
  <c r="F36" i="21" s="1"/>
  <c r="H37" i="22"/>
  <c r="N65" i="22"/>
  <c r="N38" i="22"/>
  <c r="N66" i="22" s="1"/>
  <c r="E97" i="22" s="1"/>
  <c r="M67" i="22"/>
  <c r="G131" i="29" l="1"/>
  <c r="G133" i="29" s="1"/>
  <c r="G134" i="29" s="1"/>
  <c r="G146" i="29"/>
  <c r="G148" i="29" s="1"/>
  <c r="G149" i="29" s="1"/>
  <c r="G161" i="29"/>
  <c r="G163" i="29" s="1"/>
  <c r="G164" i="29" s="1"/>
  <c r="G24" i="68"/>
  <c r="G176" i="29"/>
  <c r="G178" i="29" s="1"/>
  <c r="G179" i="29" s="1"/>
  <c r="F38" i="21"/>
  <c r="F40" i="21" s="1"/>
  <c r="G45" i="29"/>
  <c r="G47" i="29" s="1"/>
  <c r="N40" i="22"/>
  <c r="N68" i="22" s="1"/>
  <c r="D13" i="23"/>
  <c r="N39" i="22"/>
  <c r="N67" i="22" s="1"/>
  <c r="H65" i="22"/>
  <c r="G13" i="69" s="1"/>
  <c r="G15" i="69" s="1"/>
  <c r="H40" i="22"/>
  <c r="O37" i="22" l="1"/>
  <c r="G109" i="29"/>
  <c r="G110" i="29" s="1"/>
  <c r="F45" i="21"/>
  <c r="F13" i="23"/>
  <c r="E13" i="23" s="1"/>
  <c r="O65" i="22"/>
  <c r="O38" i="22"/>
  <c r="O40" i="22" s="1"/>
  <c r="I37" i="22"/>
  <c r="H68" i="22"/>
  <c r="J17" i="22" s="1"/>
  <c r="J23" i="22" s="1"/>
  <c r="G35" i="21" s="1"/>
  <c r="G36" i="21" s="1"/>
  <c r="H176" i="29" l="1"/>
  <c r="H178" i="29" s="1"/>
  <c r="H179" i="29" s="1"/>
  <c r="H161" i="29"/>
  <c r="H163" i="29" s="1"/>
  <c r="H164" i="29" s="1"/>
  <c r="H146" i="29"/>
  <c r="H148" i="29" s="1"/>
  <c r="H149" i="29" s="1"/>
  <c r="H24" i="68"/>
  <c r="H131" i="29"/>
  <c r="H133" i="29" s="1"/>
  <c r="H134" i="29" s="1"/>
  <c r="G38" i="21"/>
  <c r="G40" i="21" s="1"/>
  <c r="H45" i="29"/>
  <c r="H47" i="29" s="1"/>
  <c r="G13" i="23"/>
  <c r="C14" i="23" s="1"/>
  <c r="D14" i="23" s="1"/>
  <c r="P37" i="22"/>
  <c r="O68" i="22"/>
  <c r="I65" i="22"/>
  <c r="H13" i="69" s="1"/>
  <c r="H15" i="69" s="1"/>
  <c r="I40" i="22"/>
  <c r="I68" i="22" s="1"/>
  <c r="K17" i="22" s="1"/>
  <c r="K23" i="22" s="1"/>
  <c r="H35" i="21" s="1"/>
  <c r="H36" i="21" s="1"/>
  <c r="O66" i="22"/>
  <c r="F97" i="22" s="1"/>
  <c r="O39" i="22"/>
  <c r="I131" i="29" l="1"/>
  <c r="I133" i="29" s="1"/>
  <c r="I134" i="29" s="1"/>
  <c r="I146" i="29"/>
  <c r="I148" i="29" s="1"/>
  <c r="I149" i="29" s="1"/>
  <c r="I161" i="29"/>
  <c r="I163" i="29" s="1"/>
  <c r="I164" i="29" s="1"/>
  <c r="I176" i="29"/>
  <c r="I178" i="29" s="1"/>
  <c r="I179" i="29" s="1"/>
  <c r="I24" i="68"/>
  <c r="H38" i="21"/>
  <c r="H40" i="21" s="1"/>
  <c r="I45" i="29"/>
  <c r="I47" i="29" s="1"/>
  <c r="C49" i="29" s="1"/>
  <c r="D28" i="62" s="1"/>
  <c r="H109" i="29"/>
  <c r="H110" i="29" s="1"/>
  <c r="G45" i="21"/>
  <c r="F14" i="23"/>
  <c r="E14" i="23" s="1"/>
  <c r="P38" i="22"/>
  <c r="P66" i="22" s="1"/>
  <c r="G97" i="22" s="1"/>
  <c r="P65" i="22"/>
  <c r="O67" i="22"/>
  <c r="I109" i="29" l="1"/>
  <c r="I110" i="29" s="1"/>
  <c r="H45" i="21"/>
  <c r="G14" i="23"/>
  <c r="C15" i="23" s="1"/>
  <c r="P39" i="22"/>
  <c r="P40" i="22"/>
  <c r="D15" i="23" l="1"/>
  <c r="P68" i="22"/>
  <c r="Q37" i="22"/>
  <c r="P67" i="22"/>
  <c r="F15" i="23" l="1"/>
  <c r="E15" i="23" s="1"/>
  <c r="Q38" i="22"/>
  <c r="Q40" i="22" s="1"/>
  <c r="Q68" i="22" s="1"/>
  <c r="Q65" i="22"/>
  <c r="G15" i="23" l="1"/>
  <c r="C16" i="23" s="1"/>
  <c r="D16" i="23" s="1"/>
  <c r="E16" i="23" s="1"/>
  <c r="G16" i="23" s="1"/>
  <c r="C17" i="23" s="1"/>
  <c r="D17" i="23" s="1"/>
  <c r="E17" i="23" s="1"/>
  <c r="G17" i="23" s="1"/>
  <c r="C18" i="23" s="1"/>
  <c r="D18" i="23" s="1"/>
  <c r="E18" i="23" s="1"/>
  <c r="G18" i="23" s="1"/>
  <c r="C19" i="23" s="1"/>
  <c r="Q66" i="22"/>
  <c r="H97" i="22" s="1"/>
  <c r="Q39" i="22"/>
  <c r="Q67" i="22" s="1"/>
  <c r="D19" i="23" l="1"/>
  <c r="E19" i="23" s="1"/>
  <c r="G19" i="23" s="1"/>
  <c r="C20" i="23" s="1"/>
  <c r="D20" i="23" l="1"/>
  <c r="E20" i="23" s="1"/>
  <c r="G20" i="23" s="1"/>
  <c r="C21" i="23" s="1"/>
  <c r="D21" i="23" l="1"/>
  <c r="E21" i="23" l="1"/>
  <c r="C27" i="68"/>
  <c r="B47" i="21" l="1"/>
  <c r="B49" i="21" s="1"/>
  <c r="C26" i="68"/>
  <c r="C112" i="29" s="1"/>
  <c r="C114" i="29" s="1"/>
  <c r="G21" i="23"/>
  <c r="C22" i="23" l="1"/>
  <c r="B28" i="69"/>
  <c r="B31" i="69" s="1"/>
  <c r="B95" i="22"/>
  <c r="B98" i="22" s="1"/>
  <c r="J40" i="21"/>
  <c r="J42" i="21" s="1"/>
  <c r="B99" i="22" l="1"/>
  <c r="B50" i="21" s="1"/>
  <c r="D22" i="23"/>
  <c r="C30" i="68" l="1"/>
  <c r="B51" i="21"/>
  <c r="D9" i="29" s="1"/>
  <c r="D14" i="29" s="1"/>
  <c r="E22" i="23"/>
  <c r="C32" i="68" l="1"/>
  <c r="C33" i="68" s="1"/>
  <c r="C35" i="68" s="1"/>
  <c r="C58" i="29"/>
  <c r="C63" i="29" s="1"/>
  <c r="C67" i="29" s="1"/>
  <c r="D95" i="29"/>
  <c r="D98" i="29" s="1"/>
  <c r="D99" i="29" s="1"/>
  <c r="B53" i="21"/>
  <c r="B37" i="69" s="1"/>
  <c r="B39" i="69" s="1"/>
  <c r="C80" i="29"/>
  <c r="D15" i="29"/>
  <c r="G22" i="23"/>
  <c r="C23" i="23" s="1"/>
  <c r="B8" i="69" l="1"/>
  <c r="B11" i="69" s="1"/>
  <c r="B20" i="69" s="1"/>
  <c r="D34" i="68"/>
  <c r="D23" i="23"/>
  <c r="C36" i="69"/>
  <c r="B41" i="69"/>
  <c r="B43" i="69" s="1"/>
  <c r="B46" i="69" l="1"/>
  <c r="E23" i="23"/>
  <c r="G23" i="23" l="1"/>
  <c r="C24" i="23" s="1"/>
  <c r="D24" i="23" l="1"/>
  <c r="E24" i="23" l="1"/>
  <c r="G24" i="23" l="1"/>
  <c r="C25" i="23" s="1"/>
  <c r="D25" i="23" s="1"/>
  <c r="E25" i="23" l="1"/>
  <c r="G25" i="23" l="1"/>
  <c r="C26" i="23" s="1"/>
  <c r="D26" i="23" s="1"/>
  <c r="E26" i="23" l="1"/>
  <c r="G26" i="23" l="1"/>
  <c r="C27" i="23" s="1"/>
  <c r="D27" i="23" s="1"/>
  <c r="E27" i="23" s="1"/>
  <c r="G27" i="23" s="1"/>
  <c r="C28" i="23" s="1"/>
  <c r="D28" i="23" l="1"/>
  <c r="E28" i="23" s="1"/>
  <c r="G28" i="23" s="1"/>
  <c r="C29" i="23" s="1"/>
  <c r="D29" i="23" l="1"/>
  <c r="E29" i="23" s="1"/>
  <c r="G29" i="23" s="1"/>
  <c r="C30" i="23" s="1"/>
  <c r="D30" i="23" l="1"/>
  <c r="E30" i="23" s="1"/>
  <c r="G30" i="23" s="1"/>
  <c r="C31" i="23" s="1"/>
  <c r="D31" i="23" s="1"/>
  <c r="E31" i="23" s="1"/>
  <c r="G31" i="23" s="1"/>
  <c r="C32" i="23" s="1"/>
  <c r="D32" i="23" l="1"/>
  <c r="E32" i="23" s="1"/>
  <c r="G32" i="23" s="1"/>
  <c r="C33" i="23" s="1"/>
  <c r="D33" i="23" s="1"/>
  <c r="E33" i="23" l="1"/>
  <c r="D27" i="68"/>
  <c r="C47" i="21" l="1"/>
  <c r="C49" i="21" s="1"/>
  <c r="G33" i="23"/>
  <c r="D26" i="68"/>
  <c r="D112" i="29" s="1"/>
  <c r="D114" i="29" s="1"/>
  <c r="C34" i="23" l="1"/>
  <c r="C28" i="69"/>
  <c r="C31" i="69" s="1"/>
  <c r="C95" i="22"/>
  <c r="C98" i="22" s="1"/>
  <c r="C99" i="22" l="1"/>
  <c r="C50" i="21" s="1"/>
  <c r="D34" i="23"/>
  <c r="D30" i="68" l="1"/>
  <c r="C51" i="21"/>
  <c r="D80" i="29" s="1"/>
  <c r="E34" i="23"/>
  <c r="D32" i="68" l="1"/>
  <c r="D33" i="68" s="1"/>
  <c r="D35" i="68" s="1"/>
  <c r="C37" i="69"/>
  <c r="C39" i="69" s="1"/>
  <c r="C41" i="69" s="1"/>
  <c r="C43" i="69" s="1"/>
  <c r="C53" i="21"/>
  <c r="D58" i="29"/>
  <c r="D63" i="29" s="1"/>
  <c r="D67" i="29" s="1"/>
  <c r="E95" i="29"/>
  <c r="E98" i="29" s="1"/>
  <c r="E99" i="29" s="1"/>
  <c r="E9" i="29"/>
  <c r="E14" i="29" s="1"/>
  <c r="E15" i="29" s="1"/>
  <c r="G34" i="23"/>
  <c r="C35" i="23" s="1"/>
  <c r="D35" i="23" s="1"/>
  <c r="D36" i="69" l="1"/>
  <c r="C8" i="69"/>
  <c r="C11" i="69" s="1"/>
  <c r="C20" i="69" s="1"/>
  <c r="C46" i="69" s="1"/>
  <c r="E34" i="68"/>
  <c r="E35" i="23"/>
  <c r="G35" i="23" l="1"/>
  <c r="C36" i="23" s="1"/>
  <c r="D36" i="23" s="1"/>
  <c r="E36" i="23" l="1"/>
  <c r="G36" i="23" l="1"/>
  <c r="C37" i="23" s="1"/>
  <c r="D37" i="23" s="1"/>
  <c r="E37" i="23" l="1"/>
  <c r="G37" i="23" l="1"/>
  <c r="C38" i="23" s="1"/>
  <c r="D38" i="23" s="1"/>
  <c r="E38" i="23" l="1"/>
  <c r="G38" i="23" l="1"/>
  <c r="C39" i="23" s="1"/>
  <c r="D39" i="23" s="1"/>
  <c r="E39" i="23" s="1"/>
  <c r="G39" i="23" s="1"/>
  <c r="C40" i="23" s="1"/>
  <c r="D40" i="23" s="1"/>
  <c r="E40" i="23" s="1"/>
  <c r="G40" i="23" s="1"/>
  <c r="C41" i="23" s="1"/>
  <c r="D41" i="23" s="1"/>
  <c r="E41" i="23" s="1"/>
  <c r="G41" i="23" s="1"/>
  <c r="C42" i="23" s="1"/>
  <c r="D42" i="23" s="1"/>
  <c r="E42" i="23" s="1"/>
  <c r="G42" i="23" s="1"/>
  <c r="C43" i="23" s="1"/>
  <c r="D43" i="23" l="1"/>
  <c r="E43" i="23" s="1"/>
  <c r="G43" i="23" s="1"/>
  <c r="C44" i="23" s="1"/>
  <c r="D44" i="23" s="1"/>
  <c r="E44" i="23" s="1"/>
  <c r="G44" i="23" s="1"/>
  <c r="C45" i="23" s="1"/>
  <c r="D45" i="23" l="1"/>
  <c r="E45" i="23" l="1"/>
  <c r="E27" i="68"/>
  <c r="D47" i="21" l="1"/>
  <c r="D49" i="21" s="1"/>
  <c r="E26" i="68"/>
  <c r="E112" i="29" s="1"/>
  <c r="E114" i="29" s="1"/>
  <c r="G45" i="23"/>
  <c r="C46" i="23" l="1"/>
  <c r="D28" i="69"/>
  <c r="D31" i="69" s="1"/>
  <c r="D95" i="22"/>
  <c r="D98" i="22" s="1"/>
  <c r="D99" i="22" l="1"/>
  <c r="D50" i="21" s="1"/>
  <c r="D46" i="23"/>
  <c r="E30" i="68" l="1"/>
  <c r="D51" i="21"/>
  <c r="D37" i="69" s="1"/>
  <c r="D39" i="69" s="1"/>
  <c r="E46" i="23"/>
  <c r="E32" i="68" l="1"/>
  <c r="E33" i="68" s="1"/>
  <c r="E35" i="68" s="1"/>
  <c r="F95" i="29"/>
  <c r="F98" i="29" s="1"/>
  <c r="F99" i="29" s="1"/>
  <c r="E58" i="29"/>
  <c r="E63" i="29" s="1"/>
  <c r="E67" i="29" s="1"/>
  <c r="D53" i="21"/>
  <c r="E80" i="29"/>
  <c r="F9" i="29"/>
  <c r="F14" i="29" s="1"/>
  <c r="F15" i="29" s="1"/>
  <c r="E36" i="69"/>
  <c r="D41" i="69"/>
  <c r="D43" i="69" s="1"/>
  <c r="G46" i="23"/>
  <c r="C47" i="23" s="1"/>
  <c r="D47" i="23" s="1"/>
  <c r="F34" i="68" l="1"/>
  <c r="D8" i="69"/>
  <c r="D11" i="69" s="1"/>
  <c r="D20" i="69" s="1"/>
  <c r="D46" i="69" s="1"/>
  <c r="E47" i="23"/>
  <c r="G47" i="23" l="1"/>
  <c r="C48" i="23" s="1"/>
  <c r="D48" i="23" s="1"/>
  <c r="E48" i="23" l="1"/>
  <c r="G48" i="23" l="1"/>
  <c r="C49" i="23" s="1"/>
  <c r="D49" i="23" s="1"/>
  <c r="E49" i="23" l="1"/>
  <c r="G49" i="23" l="1"/>
  <c r="C50" i="23" s="1"/>
  <c r="D50" i="23" s="1"/>
  <c r="E50" i="23" l="1"/>
  <c r="G50" i="23" l="1"/>
  <c r="C51" i="23" s="1"/>
  <c r="D51" i="23" s="1"/>
  <c r="E51" i="23" s="1"/>
  <c r="G51" i="23" s="1"/>
  <c r="C52" i="23" s="1"/>
  <c r="D52" i="23" s="1"/>
  <c r="E52" i="23" s="1"/>
  <c r="G52" i="23" s="1"/>
  <c r="C53" i="23" s="1"/>
  <c r="D53" i="23" l="1"/>
  <c r="E53" i="23" s="1"/>
  <c r="G53" i="23" s="1"/>
  <c r="C54" i="23" s="1"/>
  <c r="D54" i="23" s="1"/>
  <c r="E54" i="23" s="1"/>
  <c r="G54" i="23" s="1"/>
  <c r="C55" i="23" s="1"/>
  <c r="D55" i="23" s="1"/>
  <c r="E55" i="23" s="1"/>
  <c r="G55" i="23" s="1"/>
  <c r="C56" i="23" s="1"/>
  <c r="D56" i="23" s="1"/>
  <c r="E56" i="23" s="1"/>
  <c r="G56" i="23" s="1"/>
  <c r="C57" i="23" s="1"/>
  <c r="D57" i="23" s="1"/>
  <c r="E57" i="23" l="1"/>
  <c r="F27" i="68"/>
  <c r="E47" i="21" l="1"/>
  <c r="E49" i="21" s="1"/>
  <c r="G57" i="23"/>
  <c r="F26" i="68"/>
  <c r="F112" i="29" s="1"/>
  <c r="F114" i="29" s="1"/>
  <c r="E28" i="69" l="1"/>
  <c r="E31" i="69" s="1"/>
  <c r="C58" i="23"/>
  <c r="E95" i="22"/>
  <c r="E98" i="22" s="1"/>
  <c r="E99" i="22" l="1"/>
  <c r="E50" i="21" s="1"/>
  <c r="D58" i="23"/>
  <c r="F30" i="68" l="1"/>
  <c r="E51" i="21"/>
  <c r="G9" i="29" s="1"/>
  <c r="G14" i="29" s="1"/>
  <c r="E58" i="23"/>
  <c r="F32" i="68" l="1"/>
  <c r="F33" i="68" s="1"/>
  <c r="F35" i="68" s="1"/>
  <c r="E53" i="21"/>
  <c r="F58" i="29"/>
  <c r="F63" i="29" s="1"/>
  <c r="F67" i="29" s="1"/>
  <c r="F80" i="29"/>
  <c r="E37" i="69"/>
  <c r="E39" i="69" s="1"/>
  <c r="E41" i="69" s="1"/>
  <c r="E43" i="69" s="1"/>
  <c r="G95" i="29"/>
  <c r="G98" i="29" s="1"/>
  <c r="G99" i="29" s="1"/>
  <c r="G15" i="29"/>
  <c r="G58" i="23"/>
  <c r="C59" i="23" s="1"/>
  <c r="D59" i="23" s="1"/>
  <c r="G34" i="68" l="1"/>
  <c r="E8" i="69"/>
  <c r="E11" i="69" s="1"/>
  <c r="E20" i="69" s="1"/>
  <c r="E46" i="69" s="1"/>
  <c r="F36" i="69"/>
  <c r="E59" i="23"/>
  <c r="G59" i="23" l="1"/>
  <c r="C60" i="23" s="1"/>
  <c r="D60" i="23" s="1"/>
  <c r="E60" i="23" l="1"/>
  <c r="G60" i="23" l="1"/>
  <c r="C61" i="23" s="1"/>
  <c r="D61" i="23" s="1"/>
  <c r="E61" i="23" l="1"/>
  <c r="G61" i="23" l="1"/>
  <c r="C62" i="23" s="1"/>
  <c r="D62" i="23" s="1"/>
  <c r="E62" i="23" l="1"/>
  <c r="G62" i="23" l="1"/>
  <c r="C63" i="23" s="1"/>
  <c r="D63" i="23" s="1"/>
  <c r="E63" i="23" s="1"/>
  <c r="G63" i="23" s="1"/>
  <c r="C64" i="23" s="1"/>
  <c r="D64" i="23" s="1"/>
  <c r="E64" i="23" s="1"/>
  <c r="G64" i="23" s="1"/>
  <c r="C65" i="23" s="1"/>
  <c r="D65" i="23" l="1"/>
  <c r="E65" i="23" s="1"/>
  <c r="G65" i="23" s="1"/>
  <c r="C66" i="23" s="1"/>
  <c r="D66" i="23" l="1"/>
  <c r="E66" i="23" s="1"/>
  <c r="G66" i="23" s="1"/>
  <c r="C67" i="23" s="1"/>
  <c r="D67" i="23" s="1"/>
  <c r="E67" i="23" s="1"/>
  <c r="G67" i="23" s="1"/>
  <c r="C68" i="23" s="1"/>
  <c r="D68" i="23" s="1"/>
  <c r="E68" i="23" s="1"/>
  <c r="G68" i="23" s="1"/>
  <c r="C69" i="23" s="1"/>
  <c r="D69" i="23" s="1"/>
  <c r="E69" i="23" l="1"/>
  <c r="G27" i="68"/>
  <c r="F47" i="21" l="1"/>
  <c r="F49" i="21" s="1"/>
  <c r="G69" i="23"/>
  <c r="G26" i="68"/>
  <c r="G112" i="29" s="1"/>
  <c r="G114" i="29" s="1"/>
  <c r="C116" i="29" s="1"/>
  <c r="D33" i="62" s="1"/>
  <c r="F28" i="69" l="1"/>
  <c r="F31" i="69" s="1"/>
  <c r="C70" i="23"/>
  <c r="F95" i="22"/>
  <c r="F98" i="22" s="1"/>
  <c r="F99" i="22" l="1"/>
  <c r="F50" i="21" s="1"/>
  <c r="D70" i="23"/>
  <c r="G30" i="68" l="1"/>
  <c r="F51" i="21"/>
  <c r="H95" i="29" s="1"/>
  <c r="H98" i="29" s="1"/>
  <c r="E70" i="23"/>
  <c r="G32" i="68" l="1"/>
  <c r="G33" i="68" s="1"/>
  <c r="G35" i="68" s="1"/>
  <c r="G58" i="29"/>
  <c r="G63" i="29" s="1"/>
  <c r="G67" i="29" s="1"/>
  <c r="F53" i="21"/>
  <c r="F37" i="69"/>
  <c r="F39" i="69" s="1"/>
  <c r="F41" i="69" s="1"/>
  <c r="F43" i="69" s="1"/>
  <c r="H9" i="29"/>
  <c r="H14" i="29" s="1"/>
  <c r="H15" i="29" s="1"/>
  <c r="G80" i="29"/>
  <c r="H99" i="29"/>
  <c r="D101" i="29"/>
  <c r="D32" i="62" s="1"/>
  <c r="G70" i="23"/>
  <c r="C71" i="23" s="1"/>
  <c r="D71" i="23" s="1"/>
  <c r="H34" i="68" l="1"/>
  <c r="F8" i="69"/>
  <c r="F11" i="69" s="1"/>
  <c r="F20" i="69" s="1"/>
  <c r="F46" i="69" s="1"/>
  <c r="G36" i="69"/>
  <c r="E71" i="23"/>
  <c r="G71" i="23" l="1"/>
  <c r="C72" i="23" s="1"/>
  <c r="D72" i="23" s="1"/>
  <c r="E72" i="23" l="1"/>
  <c r="G72" i="23" l="1"/>
  <c r="C73" i="23" s="1"/>
  <c r="D73" i="23" l="1"/>
  <c r="E73" i="23" l="1"/>
  <c r="G73" i="23" l="1"/>
  <c r="C74" i="23" s="1"/>
  <c r="D74" i="23" s="1"/>
  <c r="E74" i="23" l="1"/>
  <c r="G74" i="23" l="1"/>
  <c r="C75" i="23" s="1"/>
  <c r="D75" i="23" s="1"/>
  <c r="E75" i="23" s="1"/>
  <c r="G75" i="23" s="1"/>
  <c r="C76" i="23" s="1"/>
  <c r="D76" i="23" l="1"/>
  <c r="E76" i="23" s="1"/>
  <c r="G76" i="23" s="1"/>
  <c r="C77" i="23" s="1"/>
  <c r="D77" i="23" s="1"/>
  <c r="E77" i="23" s="1"/>
  <c r="G77" i="23" s="1"/>
  <c r="C78" i="23" s="1"/>
  <c r="D78" i="23" l="1"/>
  <c r="E78" i="23" s="1"/>
  <c r="G78" i="23" s="1"/>
  <c r="C79" i="23" s="1"/>
  <c r="D79" i="23" s="1"/>
  <c r="E79" i="23" s="1"/>
  <c r="G79" i="23" s="1"/>
  <c r="C80" i="23" s="1"/>
  <c r="D80" i="23" s="1"/>
  <c r="E80" i="23" s="1"/>
  <c r="G80" i="23" s="1"/>
  <c r="C81" i="23" s="1"/>
  <c r="D81" i="23" s="1"/>
  <c r="E81" i="23" l="1"/>
  <c r="H27" i="68"/>
  <c r="G47" i="21" l="1"/>
  <c r="G49" i="21" s="1"/>
  <c r="G81" i="23"/>
  <c r="H26" i="68"/>
  <c r="H112" i="29" s="1"/>
  <c r="G28" i="69" l="1"/>
  <c r="G31" i="69" s="1"/>
  <c r="C82" i="23"/>
  <c r="G95" i="22"/>
  <c r="G98" i="22" s="1"/>
  <c r="G99" i="22" l="1"/>
  <c r="G50" i="21" s="1"/>
  <c r="D82" i="23"/>
  <c r="H30" i="68" l="1"/>
  <c r="G51" i="21"/>
  <c r="H58" i="29" s="1"/>
  <c r="H63" i="29" s="1"/>
  <c r="H67" i="29" s="1"/>
  <c r="E82" i="23"/>
  <c r="G53" i="21" l="1"/>
  <c r="H32" i="68"/>
  <c r="H33" i="68" s="1"/>
  <c r="H35" i="68" s="1"/>
  <c r="I95" i="29"/>
  <c r="I98" i="29" s="1"/>
  <c r="G37" i="69"/>
  <c r="G39" i="69" s="1"/>
  <c r="H36" i="69" s="1"/>
  <c r="I9" i="29"/>
  <c r="I14" i="29" s="1"/>
  <c r="I15" i="29" s="1"/>
  <c r="H80" i="29"/>
  <c r="G82" i="23"/>
  <c r="C83" i="23" s="1"/>
  <c r="D83" i="23" s="1"/>
  <c r="G41" i="69" l="1"/>
  <c r="G43" i="69" s="1"/>
  <c r="I34" i="68"/>
  <c r="G8" i="69"/>
  <c r="G11" i="69" s="1"/>
  <c r="G20" i="69" s="1"/>
  <c r="E83" i="23"/>
  <c r="G46" i="69" l="1"/>
  <c r="G83" i="23"/>
  <c r="C84" i="23" s="1"/>
  <c r="D84" i="23" s="1"/>
  <c r="E84" i="23" l="1"/>
  <c r="G84" i="23" l="1"/>
  <c r="C85" i="23" s="1"/>
  <c r="D85" i="23" s="1"/>
  <c r="E85" i="23" l="1"/>
  <c r="G85" i="23" l="1"/>
  <c r="C86" i="23" s="1"/>
  <c r="D86" i="23" l="1"/>
  <c r="E86" i="23" l="1"/>
  <c r="G86" i="23" l="1"/>
  <c r="C87" i="23" s="1"/>
  <c r="D87" i="23" s="1"/>
  <c r="E87" i="23" s="1"/>
  <c r="G87" i="23" s="1"/>
  <c r="C88" i="23" s="1"/>
  <c r="D88" i="23" s="1"/>
  <c r="E88" i="23" s="1"/>
  <c r="G88" i="23" s="1"/>
  <c r="C89" i="23" s="1"/>
  <c r="D89" i="23" s="1"/>
  <c r="E89" i="23" s="1"/>
  <c r="G89" i="23" s="1"/>
  <c r="C90" i="23" s="1"/>
  <c r="D90" i="23" l="1"/>
  <c r="E90" i="23" s="1"/>
  <c r="G90" i="23" s="1"/>
  <c r="C91" i="23" s="1"/>
  <c r="D91" i="23" s="1"/>
  <c r="E91" i="23" s="1"/>
  <c r="G91" i="23" s="1"/>
  <c r="C92" i="23" s="1"/>
  <c r="D92" i="23" l="1"/>
  <c r="E92" i="23" s="1"/>
  <c r="G92" i="23" s="1"/>
  <c r="C93" i="23" s="1"/>
  <c r="D93" i="23" s="1"/>
  <c r="E93" i="23" l="1"/>
  <c r="D94" i="23"/>
  <c r="I27" i="68"/>
  <c r="H47" i="21" l="1"/>
  <c r="H49" i="21" s="1"/>
  <c r="G93" i="23"/>
  <c r="E94" i="23"/>
  <c r="I26" i="68"/>
  <c r="I112" i="29" s="1"/>
  <c r="H95" i="22" l="1"/>
  <c r="H98" i="22" s="1"/>
  <c r="H99" i="22" l="1"/>
  <c r="H50" i="21" s="1"/>
  <c r="I30" i="68" l="1"/>
  <c r="H51" i="21"/>
  <c r="J9" i="29" s="1"/>
  <c r="J14" i="29" s="1"/>
  <c r="I32" i="68" l="1"/>
  <c r="I33" i="68" s="1"/>
  <c r="I35" i="68" s="1"/>
  <c r="H8" i="69" s="1"/>
  <c r="H11" i="69" s="1"/>
  <c r="H20" i="69" s="1"/>
  <c r="I58" i="29"/>
  <c r="I63" i="29" s="1"/>
  <c r="I67" i="29" s="1"/>
  <c r="C69" i="29" s="1"/>
  <c r="C73" i="29" s="1"/>
  <c r="D31" i="62" s="1"/>
  <c r="J95" i="29"/>
  <c r="J98" i="29" s="1"/>
  <c r="I80" i="29"/>
  <c r="C82" i="29" s="1"/>
  <c r="C85" i="29" s="1"/>
  <c r="D29" i="62" s="1"/>
  <c r="H53" i="21"/>
  <c r="H37" i="69"/>
  <c r="H39" i="69" s="1"/>
  <c r="H41" i="69" s="1"/>
  <c r="H43" i="69" s="1"/>
  <c r="J15" i="29"/>
  <c r="C16" i="29" s="1"/>
  <c r="H46" i="69" l="1"/>
  <c r="D18" i="29"/>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<sst xmlns="http://schemas.openxmlformats.org/spreadsheetml/2006/main" count="1482" uniqueCount="748">
  <si>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</si>
  <si>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</si>
  <si>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</si>
  <si>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</si>
  <si>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</si>
  <si>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</si>
  <si>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</si>
  <si>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</si>
  <si>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</si>
  <si>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</si>
  <si>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</si>
  <si>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</si>
  <si>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</si>
  <si>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</si>
  <si>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</si>
  <si>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</si>
  <si>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</si>
  <si>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</si>
  <si>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</si>
  <si>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</si>
  <si>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</si>
  <si>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</si>
  <si>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</si>
  <si>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</si>
  <si>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</si>
  <si>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</si>
  <si>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</si>
  <si>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</si>
  <si>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</si>
  <si>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</si>
  <si>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</si>
  <si>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</si>
  <si>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</si>
  <si>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</si>
  <si>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</si>
  <si>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</si>
  <si>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</si>
  <si>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</si>
  <si>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</si>
  <si>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</si>
  <si>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</si>
  <si>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</si>
  <si>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</si>
  <si>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</si>
  <si>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</si>
  <si>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</si>
  <si>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</si>
  <si>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</si>
  <si>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</si>
  <si>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</si>
  <si>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</si>
  <si>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</si>
  <si>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</si>
  <si>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</si>
  <si>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</si>
  <si>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</si>
  <si>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</si>
  <si>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</si>
  <si>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</si>
  <si>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</si>
  <si>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</si>
  <si>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</si>
  <si>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</si>
  <si>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</si>
  <si>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</si>
  <si>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</si>
  <si>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</si>
  <si>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</si>
  <si>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</si>
  <si>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</si>
  <si>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</si>
  <si>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</si>
  <si>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</si>
  <si>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</si>
  <si>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</si>
  <si>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</si>
  <si>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</si>
  <si>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</si>
  <si>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</si>
  <si>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</si>
  <si>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</si>
  <si>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</si>
  <si>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</si>
  <si>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</si>
  <si>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</si>
  <si>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</si>
  <si>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</si>
  <si>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</si>
  <si>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</si>
  <si>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</si>
  <si>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</si>
  <si>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</si>
  <si>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</si>
  <si>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</si>
  <si>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</si>
  <si>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</si>
  <si>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</si>
  <si>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</si>
  <si>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</si>
  <si>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</si>
  <si>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</si>
  <si>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</si>
  <si>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</si>
  <si>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</si>
  <si>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</si>
  <si>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</si>
  <si>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</si>
  <si>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</si>
  <si>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</si>
  <si>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</si>
  <si>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</si>
  <si>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</si>
  <si>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</si>
  <si>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</si>
  <si>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</si>
  <si>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</si>
  <si>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</si>
  <si>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</si>
  <si>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</si>
  <si>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</si>
  <si>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</si>
  <si>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</si>
  <si>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</si>
  <si>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</si>
  <si>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</si>
  <si>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</si>
  <si>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</si>
  <si>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</si>
  <si>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</si>
  <si>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</si>
  <si>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</si>
  <si>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</si>
  <si>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</si>
  <si>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</si>
  <si>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</si>
  <si>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</si>
  <si>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</si>
  <si>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</si>
  <si>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</si>
  <si>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</si>
  <si>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</si>
  <si>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</si>
  <si>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</si>
  <si>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</si>
  <si>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</si>
  <si>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</si>
  <si>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</si>
  <si>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</si>
  <si>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</si>
  <si>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</si>
  <si>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</si>
  <si>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</si>
  <si>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</si>
  <si>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</si>
  <si>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</si>
  <si>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</si>
  <si>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</si>
  <si>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</si>
  <si>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</si>
  <si>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</si>
  <si>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</si>
  <si>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</si>
  <si>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</si>
  <si>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</si>
  <si>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</si>
  <si>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</si>
  <si>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</si>
  <si>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</si>
  <si>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</si>
  <si>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A</t>
  </si>
  <si>
    <t>B</t>
  </si>
  <si>
    <t>C</t>
  </si>
  <si>
    <t>D</t>
  </si>
  <si>
    <t>Vegetable</t>
  </si>
  <si>
    <t>Kharif Crops</t>
  </si>
  <si>
    <t>Rabi Crop</t>
  </si>
  <si>
    <t>Machine Operator</t>
  </si>
  <si>
    <t>Misc.expenses</t>
  </si>
  <si>
    <t>Audit and Legal Compliences expenses</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</si>
  <si>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</si>
  <si>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</si>
  <si>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</si>
  <si>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</si>
  <si>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</si>
  <si>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</si>
  <si>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</si>
  <si>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</si>
  <si>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</si>
  <si>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</si>
  <si>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</si>
  <si>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</si>
  <si>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</si>
  <si>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</si>
  <si>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</si>
  <si>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</si>
  <si>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</si>
  <si>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</si>
  <si>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</si>
  <si>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</si>
  <si>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</si>
  <si>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</si>
  <si>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</si>
  <si>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</si>
  <si>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</si>
  <si>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</si>
  <si>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</si>
  <si>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</si>
  <si>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</si>
  <si>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</si>
  <si>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</si>
  <si>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</si>
  <si>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</si>
  <si>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</si>
  <si>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</si>
  <si>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</si>
  <si>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</si>
  <si>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</si>
  <si>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</si>
  <si>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</si>
  <si>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</si>
  <si>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</si>
  <si>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</si>
  <si>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</si>
  <si>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</si>
  <si>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</si>
  <si>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</si>
  <si>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</si>
  <si>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</si>
  <si>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</si>
  <si>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</si>
  <si>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</si>
  <si>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</si>
  <si>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</si>
  <si>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</si>
  <si>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</si>
  <si>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</si>
  <si>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</si>
  <si>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</si>
  <si>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</si>
  <si>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</si>
  <si>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</si>
  <si>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</si>
  <si>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</si>
  <si>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</si>
  <si>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</si>
  <si>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</si>
  <si>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</si>
  <si>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</si>
  <si>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</si>
  <si>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</si>
  <si>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</si>
  <si>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</si>
  <si>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</si>
  <si>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</si>
  <si>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</si>
  <si>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</si>
  <si>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</si>
  <si>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</si>
  <si>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</si>
  <si>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</si>
  <si>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</si>
  <si>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</si>
  <si>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</si>
  <si>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</si>
  <si>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</si>
  <si>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</si>
  <si>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</si>
  <si>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</si>
  <si>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</si>
  <si>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</si>
  <si>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</si>
  <si>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</si>
  <si>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</si>
  <si>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Unit Cost</t>
  </si>
  <si>
    <t>Taxable Income</t>
  </si>
  <si>
    <t>Year</t>
  </si>
  <si>
    <t>Loading &amp; Unloading</t>
  </si>
  <si>
    <t>Reivestment</t>
  </si>
  <si>
    <t>Job Work Charges</t>
  </si>
  <si>
    <t>Loading/Unloading Charges</t>
  </si>
  <si>
    <t>packaging Exp</t>
  </si>
  <si>
    <t>Transportation Charges</t>
  </si>
  <si>
    <t>Total expenses</t>
  </si>
  <si>
    <t>MT</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</si>
  <si>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</si>
  <si>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</si>
  <si>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</si>
  <si>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</si>
  <si>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</si>
  <si>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</si>
  <si>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</si>
  <si>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</si>
  <si>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</si>
  <si>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</si>
  <si>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</si>
  <si>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</si>
  <si>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</si>
  <si>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</si>
  <si>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</si>
  <si>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</si>
  <si>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</si>
  <si>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</si>
  <si>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</si>
  <si>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</si>
  <si>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</si>
  <si>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</si>
  <si>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</si>
  <si>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</si>
  <si>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</si>
  <si>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</si>
  <si>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</si>
  <si>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Agri Input Center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</si>
  <si>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</si>
  <si>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</si>
  <si>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</si>
  <si>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</si>
  <si>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</si>
  <si>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</si>
  <si>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</si>
  <si>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</si>
  <si>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</si>
  <si>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</si>
  <si>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</si>
  <si>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</si>
  <si>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</si>
  <si>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</si>
  <si>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</si>
  <si>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</si>
  <si>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</si>
  <si>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</si>
  <si>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</si>
  <si>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</si>
  <si>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</si>
  <si>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</si>
  <si>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</si>
  <si>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</si>
  <si>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</si>
  <si>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</si>
  <si>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</si>
  <si>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</si>
  <si>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</si>
  <si>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</si>
  <si>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</si>
  <si>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</si>
  <si>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</si>
  <si>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</si>
  <si>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</si>
  <si>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</si>
  <si>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</si>
  <si>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</si>
  <si>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</si>
  <si>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</si>
  <si>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</si>
  <si>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</si>
  <si>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</si>
  <si>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</si>
  <si>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</si>
  <si>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</si>
  <si>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</si>
  <si>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</si>
  <si>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</si>
  <si>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</si>
  <si>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</si>
  <si>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</si>
  <si>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</si>
  <si>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NPV is high and positive at a conservative project life of 7 years</t>
  </si>
  <si>
    <t>No.of Unit</t>
  </si>
  <si>
    <t>No.</t>
  </si>
  <si>
    <t>Months</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</si>
  <si>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</si>
  <si>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</si>
  <si>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</si>
  <si>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</si>
  <si>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</si>
  <si>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</si>
  <si>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</si>
  <si>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</si>
  <si>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</si>
  <si>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</si>
  <si>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</si>
  <si>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</si>
  <si>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</si>
  <si>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</si>
  <si>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</si>
  <si>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</si>
  <si>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</si>
  <si>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</si>
  <si>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</si>
  <si>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</si>
  <si>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</si>
  <si>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</si>
  <si>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</si>
  <si>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</si>
  <si>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</si>
  <si>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</si>
  <si>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</si>
  <si>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</si>
  <si>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</si>
  <si>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</si>
  <si>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</si>
  <si>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</si>
  <si>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</si>
  <si>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</si>
  <si>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</si>
  <si>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</si>
  <si>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</si>
  <si>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</si>
  <si>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</si>
  <si>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</si>
  <si>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</si>
  <si>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</si>
  <si>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</si>
  <si>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</si>
  <si>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</si>
  <si>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</si>
  <si>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</si>
  <si>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</si>
  <si>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</si>
  <si>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</si>
  <si>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</si>
  <si>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</si>
  <si>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</si>
  <si>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</si>
  <si>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</si>
  <si>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</si>
  <si>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</si>
  <si>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</si>
  <si>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</si>
  <si>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</si>
  <si>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</si>
  <si>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</si>
  <si>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</si>
  <si>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</si>
  <si>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</si>
  <si>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</si>
  <si>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</si>
  <si>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</si>
  <si>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</si>
  <si>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</si>
  <si>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</si>
  <si>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</si>
  <si>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</si>
  <si>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</si>
  <si>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</si>
  <si>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</si>
  <si>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</si>
  <si>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</si>
  <si>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</si>
  <si>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</si>
  <si>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</si>
  <si>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</si>
  <si>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</si>
  <si>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Red Gram/Tur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</si>
  <si>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</si>
  <si>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</si>
  <si>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</si>
  <si>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</si>
  <si>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</si>
  <si>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</si>
  <si>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</si>
  <si>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</si>
  <si>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</si>
  <si>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</si>
  <si>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</si>
  <si>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</si>
  <si>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</si>
  <si>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</si>
  <si>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</si>
  <si>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</si>
  <si>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</si>
  <si>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</si>
  <si>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</si>
  <si>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</si>
  <si>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</si>
  <si>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</si>
  <si>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</si>
  <si>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</si>
  <si>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</si>
  <si>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</si>
  <si>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</si>
  <si>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</si>
  <si>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</si>
  <si>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</si>
  <si>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</si>
  <si>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</si>
  <si>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</si>
  <si>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</si>
  <si>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Ltrs</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</si>
  <si>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</si>
  <si>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</si>
  <si>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</si>
  <si>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</si>
  <si>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</si>
  <si>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</si>
  <si>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</si>
  <si>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</si>
  <si>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</si>
  <si>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</si>
  <si>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</si>
  <si>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</si>
  <si>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</si>
  <si>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</si>
  <si>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</si>
  <si>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</si>
  <si>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</si>
  <si>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</si>
  <si>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</si>
  <si>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</si>
  <si>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</si>
  <si>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</si>
  <si>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</si>
  <si>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</si>
  <si>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</si>
  <si>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</si>
  <si>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</si>
  <si>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</si>
  <si>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</si>
  <si>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</si>
  <si>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</si>
  <si>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</si>
  <si>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</si>
  <si>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</si>
  <si>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</si>
  <si>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</si>
  <si>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</si>
  <si>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</si>
  <si>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</si>
  <si>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</si>
  <si>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</si>
  <si>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</si>
  <si>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</si>
  <si>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</si>
  <si>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</si>
  <si>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</si>
  <si>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</si>
  <si>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</si>
  <si>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</si>
  <si>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</si>
  <si>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</si>
  <si>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</si>
  <si>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</si>
  <si>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</si>
  <si>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</si>
  <si>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</si>
  <si>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</si>
  <si>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</si>
  <si>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</si>
  <si>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</si>
  <si>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</si>
  <si>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Profit and loss of Agri Input</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</si>
  <si>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</si>
  <si>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</si>
  <si>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</si>
  <si>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</si>
  <si>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</si>
  <si>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</si>
  <si>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</si>
  <si>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</si>
  <si>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</si>
  <si>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</si>
  <si>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</si>
  <si>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</si>
  <si>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</si>
  <si>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</si>
  <si>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</si>
  <si>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</si>
  <si>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</si>
  <si>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</si>
  <si>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</si>
  <si>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</si>
  <si>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</si>
  <si>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</si>
  <si>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</si>
  <si>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</si>
  <si>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</si>
  <si>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</si>
  <si>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</si>
  <si>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</si>
  <si>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</si>
  <si>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</si>
  <si>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</si>
  <si>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</si>
  <si>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</si>
  <si>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</si>
  <si>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</si>
  <si>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</si>
  <si>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</si>
  <si>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</si>
  <si>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</si>
  <si>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</si>
  <si>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</si>
  <si>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</si>
  <si>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</si>
  <si>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</si>
  <si>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</si>
  <si>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</si>
  <si>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</si>
  <si>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</si>
  <si>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</si>
  <si>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</si>
  <si>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</si>
  <si>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</si>
  <si>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</si>
  <si>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</si>
  <si>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</si>
  <si>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</si>
  <si>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</si>
  <si>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</si>
  <si>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</si>
  <si>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</si>
  <si>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</si>
  <si>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</si>
  <si>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</si>
  <si>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</si>
  <si>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</si>
  <si>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</si>
  <si>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</si>
  <si>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</si>
  <si>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</si>
  <si>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</si>
  <si>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</si>
  <si>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</si>
  <si>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</si>
  <si>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</si>
  <si>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</si>
  <si>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</si>
  <si>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</si>
  <si>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</si>
  <si>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</si>
  <si>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</si>
  <si>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</si>
  <si>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</si>
  <si>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</si>
  <si>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</si>
  <si>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</si>
  <si>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</si>
  <si>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</si>
  <si>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</si>
  <si>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</si>
  <si>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</si>
  <si>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Sq Ft</t>
  </si>
  <si>
    <t>Sieve Set</t>
  </si>
  <si>
    <t xml:space="preserve">Hammer mill </t>
  </si>
  <si>
    <t xml:space="preserve">Mixture </t>
  </si>
  <si>
    <t>Conveyer</t>
  </si>
  <si>
    <t>Bin for pellet mill</t>
  </si>
  <si>
    <t>Pellet Mill Function</t>
  </si>
  <si>
    <t>0.5TPH</t>
  </si>
  <si>
    <t>Worm Water System</t>
  </si>
  <si>
    <t xml:space="preserve">Partation tank  Model </t>
  </si>
  <si>
    <t>Elevator</t>
  </si>
  <si>
    <t>Rolla</t>
  </si>
  <si>
    <t>Storage tank</t>
  </si>
  <si>
    <t xml:space="preserve">Chakki </t>
  </si>
  <si>
    <t>Plan Shifter</t>
  </si>
  <si>
    <t>E</t>
  </si>
  <si>
    <t>F</t>
  </si>
  <si>
    <t>G</t>
  </si>
  <si>
    <t>Control Panel</t>
  </si>
  <si>
    <t>H</t>
  </si>
  <si>
    <t>J</t>
  </si>
  <si>
    <t>K</t>
  </si>
  <si>
    <t>Furniture</t>
  </si>
  <si>
    <t>L</t>
  </si>
  <si>
    <t xml:space="preserve">Post/Pre Harvesting </t>
  </si>
  <si>
    <t>M</t>
  </si>
  <si>
    <t>Accountant/Superwiser</t>
  </si>
  <si>
    <t xml:space="preserve">Printing &amp; Stationary Travling Convience </t>
  </si>
  <si>
    <t xml:space="preserve">Prelimenary Charges </t>
  </si>
  <si>
    <t>Elevator to feed Seed Grader</t>
  </si>
  <si>
    <t>Elevator to Feed Gravity Separator</t>
  </si>
  <si>
    <t>Specific Gravity Separator</t>
  </si>
  <si>
    <t>Grain Destoner</t>
  </si>
  <si>
    <t>Elevator to feed Storage bin</t>
  </si>
  <si>
    <t>Seed Grader</t>
  </si>
  <si>
    <t>Elevator to feed Destoner</t>
  </si>
  <si>
    <t>Cleaning and Grading 2 TPH</t>
  </si>
  <si>
    <t>2.5 TPH</t>
  </si>
  <si>
    <t>3 TPH</t>
  </si>
  <si>
    <t>1 TPH</t>
  </si>
  <si>
    <t>2 TPH</t>
  </si>
  <si>
    <t>3-4 Ton</t>
  </si>
  <si>
    <t>Storage Bin</t>
  </si>
  <si>
    <t>GST</t>
  </si>
  <si>
    <t>Dal mill - 0.5 TPH</t>
  </si>
  <si>
    <t>Cattle Feed 1 TPH</t>
  </si>
  <si>
    <t>Atta Chakki - 0.5 TPH</t>
  </si>
  <si>
    <t>Spice Grinding Machine - 25-30 Kg</t>
  </si>
  <si>
    <t>Packing Machine - 10-50 Kg</t>
  </si>
  <si>
    <t>Weighing Balance - 100 KG</t>
  </si>
  <si>
    <t>Conveyor for Loading</t>
  </si>
  <si>
    <t>Installation</t>
  </si>
  <si>
    <t>Freight Charges</t>
  </si>
  <si>
    <t>Computer</t>
  </si>
  <si>
    <t>CCTV</t>
  </si>
  <si>
    <t>Pickup</t>
  </si>
  <si>
    <t>Tractor - 50HP</t>
  </si>
  <si>
    <t>Plough - Rev 2</t>
  </si>
  <si>
    <t>Rotavator - 6ft</t>
  </si>
  <si>
    <t>Square Baler</t>
  </si>
  <si>
    <t>PTO Hay Rake</t>
  </si>
  <si>
    <t>Multicrop Tokri - drum 45"</t>
  </si>
  <si>
    <t>Mulcher - 5 Ft</t>
  </si>
  <si>
    <t>Warehouse - 1800 MT</t>
  </si>
  <si>
    <t>Sq Mtrs</t>
  </si>
  <si>
    <t>Job Work</t>
  </si>
  <si>
    <t>Quantity for sale</t>
  </si>
  <si>
    <t>Owned</t>
  </si>
  <si>
    <t>Dal (90%)</t>
  </si>
  <si>
    <t>Facility 1 - Cleaning &amp; Grading</t>
  </si>
  <si>
    <t>Facility 2 - Processing Unit- Dal Mill</t>
  </si>
  <si>
    <t xml:space="preserve">Facility 4 - Custom Hiring </t>
  </si>
  <si>
    <t>Facility 6 - Cattle Feed</t>
  </si>
  <si>
    <t>Electricity Connection</t>
  </si>
  <si>
    <t>Transformer - 100 kVA</t>
  </si>
  <si>
    <t>Rooftop Solar PV Plant - 100KW</t>
  </si>
  <si>
    <t>Cattle Feed - 50 Kg</t>
  </si>
  <si>
    <t>Cattle Feed</t>
  </si>
  <si>
    <t xml:space="preserve">Cleaning Grading </t>
  </si>
  <si>
    <t>Packaging Exp</t>
  </si>
  <si>
    <t>Facility 5 - Atta Chakki</t>
  </si>
  <si>
    <t>Output for Flour</t>
  </si>
  <si>
    <t>Total Quantity to be processed</t>
  </si>
  <si>
    <t>Output - Flours in Kgs</t>
  </si>
  <si>
    <t>Bajra Flour</t>
  </si>
  <si>
    <t>Wheat Flour</t>
  </si>
  <si>
    <t>Jawar Flour</t>
  </si>
  <si>
    <t>Kgs</t>
  </si>
  <si>
    <t>Maintenance Charges</t>
  </si>
  <si>
    <t>Packing Cost</t>
  </si>
  <si>
    <t>Electricity</t>
  </si>
  <si>
    <t>Cleaning Grading</t>
  </si>
  <si>
    <t>Bengal Gram/ Chana Dal</t>
  </si>
  <si>
    <t>Red Gram/Tur Dal</t>
  </si>
  <si>
    <t>Watchmen</t>
  </si>
  <si>
    <t>Insurance</t>
  </si>
  <si>
    <t>Annual</t>
  </si>
  <si>
    <t xml:space="preserve">RoCE  for the project shall be more than 12% </t>
  </si>
  <si>
    <t xml:space="preserve">The project internal rate of return shall be more than 10% </t>
  </si>
  <si>
    <t>Changes in Current Liabilities</t>
  </si>
  <si>
    <t>Changes in Current Assets</t>
  </si>
  <si>
    <t xml:space="preserve"> Manager</t>
  </si>
  <si>
    <t>Machinery Shed - Already available with the FPC</t>
  </si>
  <si>
    <r>
      <t>Add</t>
    </r>
    <r>
      <rPr>
        <sz val="11"/>
        <color indexed="8"/>
        <rFont val="Calibri"/>
        <family val="2"/>
        <scheme val="minor"/>
      </rPr>
      <t>: Deprication</t>
    </r>
  </si>
  <si>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</si>
  <si>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</si>
  <si>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Aggrigation By CBO in Qtl</t>
  </si>
  <si>
    <t>Aggrigation By CBO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</si>
</sst>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s>
  <fonts count="41"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1"/>
      <color indexed="8"/>
      <name val="Calibri"/>
      <family val="2"/>
    </font>
    <font>
      <b/>
      <sz val="11"/>
      <name val="Garamond"/>
      <family val="1"/>
    </font>
    <font>
      <sz val="11"/>
      <color theme="1"/>
      <name val="Garamond"/>
      <family val="1"/>
    </font>
    <font>
      <b/>
      <sz val="11"/>
      <color theme="1"/>
      <name val="Garamond"/>
      <family val="1"/>
    </font>
    <font>
      <b/>
      <sz val="11"/>
      <color theme="0"/>
      <name val="Garamond"/>
      <family val="1"/>
    </font>
    <font>
      <sz val="11"/>
      <color theme="0"/>
      <name val="Garamond"/>
      <family val="1"/>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name val="Calibri"/>
      <family val="2"/>
      <scheme val="minor"/>
    </font>
    <font>
      <b/>
      <sz val="11"/>
      <color rgb="FF202122"/>
      <name val="Calibri"/>
      <family val="2"/>
      <scheme val="minor"/>
    </font>
    <font>
      <b/>
      <sz val="11"/>
      <color rgb="FF202124"/>
      <name val="Calibri"/>
      <family val="2"/>
      <scheme val="minor"/>
    </font>
    <font>
      <b/>
      <sz val="11"/>
      <color rgb="FF111111"/>
      <name val="Calibri"/>
      <family val="2"/>
      <scheme val="minor"/>
    </font>
    <font>
      <i/>
      <sz val="11"/>
      <color indexed="10"/>
      <name val="Calibri"/>
      <family val="2"/>
      <scheme val="minor"/>
    </font>
    <font>
      <b/>
      <sz val="11"/>
      <color indexed="56"/>
      <name val="Calibri"/>
      <family val="2"/>
      <scheme val="minor"/>
    </font>
    <font>
      <b/>
      <u/>
      <sz val="11"/>
      <name val="Calibri"/>
      <family val="2"/>
      <scheme val="minor"/>
    </font>
    <font>
      <sz val="11"/>
      <color indexed="17"/>
      <name val="Calibri"/>
      <family val="2"/>
      <scheme val="minor"/>
    </font>
    <font>
      <b/>
      <u/>
      <sz val="11"/>
      <color indexed="60"/>
      <name val="Calibri"/>
      <family val="2"/>
      <scheme val="minor"/>
    </font>
    <font>
      <sz val="11"/>
      <color indexed="60"/>
      <name val="Calibri"/>
      <family val="2"/>
      <scheme val="minor"/>
    </font>
    <font>
      <b/>
      <sz val="11"/>
      <color indexed="60"/>
      <name val="Calibri"/>
      <family val="2"/>
      <scheme val="minor"/>
    </font>
    <font>
      <b/>
      <sz val="11"/>
      <color rgb="FF222222"/>
      <name val="Calibri"/>
      <family val="2"/>
      <scheme val="minor"/>
    </font>
    <font>
      <sz val="11"/>
      <color rgb="FF222222"/>
      <name val="Calibri"/>
      <family val="2"/>
      <scheme val="minor"/>
    </font>
    <font>
      <b/>
      <sz val="11"/>
      <color rgb="FF272727"/>
      <name val="Calibri"/>
      <family val="2"/>
      <scheme val="minor"/>
    </font>
    <font>
      <sz val="11"/>
      <color rgb="FF424142"/>
      <name val="Calibri"/>
      <family val="2"/>
      <scheme val="minor"/>
    </font>
    <font>
      <b/>
      <u/>
      <sz val="11"/>
      <color indexed="8"/>
      <name val="Calibri"/>
      <family val="2"/>
      <scheme val="minor"/>
    </font>
    <font>
      <b/>
      <i/>
      <sz val="11"/>
      <color indexed="8"/>
      <name val="Calibri"/>
      <family val="2"/>
      <scheme val="minor"/>
    </font>
    <font>
      <b/>
      <u/>
      <sz val="11"/>
      <color indexed="12"/>
      <name val="Calibri"/>
      <family val="2"/>
      <scheme val="minor"/>
    </font>
    <font>
      <b/>
      <u/>
      <sz val="11"/>
      <color theme="1"/>
      <name val="Calibri"/>
      <family val="2"/>
      <scheme val="minor"/>
    </font>
    <font>
      <sz val="11"/>
      <color rgb="FFC00000"/>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172" fontId="1" fillId="0" borderId="0" applyFont="0" applyFill="0" applyBorder="0" applyAlignment="0" applyProtection="0"/>
    <xf numFmtId="43" fontId="4" fillId="0" borderId="0" applyFont="0" applyFill="0" applyBorder="0" applyAlignment="0" applyProtection="0"/>
  </cellStyleXfs>
  <cellXfs count="503">
    <xf numFmtId="0" fontId="0" fillId="0" borderId="0" xfId="0"/>
    <xf numFmtId="0" fontId="6" fillId="0" borderId="0" xfId="0" applyFont="1"/>
    <xf numFmtId="0" fontId="6" fillId="0" borderId="0" xfId="0" applyFont="1" applyAlignment="1">
      <alignment horizontal="center"/>
    </xf>
    <xf numFmtId="0" fontId="6" fillId="6" borderId="1" xfId="0" applyFont="1" applyFill="1" applyBorder="1"/>
    <xf numFmtId="0" fontId="7" fillId="6" borderId="1" xfId="0" applyFont="1" applyFill="1" applyBorder="1"/>
    <xf numFmtId="0" fontId="8" fillId="5" borderId="1" xfId="0" applyFont="1" applyFill="1" applyBorder="1"/>
    <xf numFmtId="0" fontId="8" fillId="5" borderId="1" xfId="0" applyFont="1" applyFill="1" applyBorder="1" applyAlignment="1">
      <alignment horizontal="center"/>
    </xf>
    <xf numFmtId="0" fontId="6" fillId="0" borderId="1" xfId="0" applyFont="1" applyBorder="1"/>
    <xf numFmtId="0" fontId="6" fillId="7" borderId="1" xfId="0" applyFont="1" applyFill="1" applyBorder="1"/>
    <xf numFmtId="9" fontId="6" fillId="7" borderId="1" xfId="0" applyNumberFormat="1" applyFont="1" applyFill="1" applyBorder="1"/>
    <xf numFmtId="0" fontId="7" fillId="0" borderId="1" xfId="0" applyFont="1" applyBorder="1"/>
    <xf numFmtId="0" fontId="6" fillId="0" borderId="0" xfId="0" applyFont="1" applyBorder="1"/>
    <xf numFmtId="0" fontId="7" fillId="0" borderId="1" xfId="0" applyFont="1" applyFill="1" applyBorder="1"/>
    <xf numFmtId="9" fontId="6" fillId="0" borderId="0" xfId="0" applyNumberFormat="1" applyFont="1"/>
    <xf numFmtId="0" fontId="8" fillId="5" borderId="1" xfId="0" applyFont="1" applyFill="1" applyBorder="1" applyAlignment="1">
      <alignment wrapText="1"/>
    </xf>
    <xf numFmtId="10" fontId="6" fillId="0" borderId="0" xfId="0" applyNumberFormat="1" applyFont="1"/>
    <xf numFmtId="0" fontId="8" fillId="0" borderId="0" xfId="0" applyFont="1" applyFill="1" applyBorder="1" applyAlignment="1">
      <alignment horizontal="center"/>
    </xf>
    <xf numFmtId="0" fontId="6" fillId="0" borderId="0" xfId="0" applyNumberFormat="1" applyFont="1" applyFill="1" applyBorder="1"/>
    <xf numFmtId="1" fontId="6" fillId="0" borderId="0" xfId="0" applyNumberFormat="1" applyFont="1" applyFill="1" applyBorder="1"/>
    <xf numFmtId="0" fontId="7" fillId="0" borderId="0" xfId="0" applyFont="1" applyFill="1" applyBorder="1"/>
    <xf numFmtId="169" fontId="7" fillId="0" borderId="0" xfId="2" applyNumberFormat="1" applyFont="1" applyFill="1" applyBorder="1"/>
    <xf numFmtId="0" fontId="7" fillId="0" borderId="0" xfId="0" applyFont="1" applyAlignment="1"/>
    <xf numFmtId="9" fontId="6" fillId="0" borderId="0" xfId="1" applyFont="1"/>
    <xf numFmtId="170" fontId="6" fillId="0" borderId="0" xfId="0" applyNumberFormat="1" applyFont="1"/>
    <xf numFmtId="0" fontId="7" fillId="0" borderId="6" xfId="0" applyFont="1" applyFill="1" applyBorder="1" applyAlignment="1">
      <alignment wrapText="1"/>
    </xf>
    <xf numFmtId="9" fontId="6" fillId="6" borderId="1" xfId="1" applyFont="1" applyFill="1" applyBorder="1"/>
    <xf numFmtId="0" fontId="7" fillId="0" borderId="9" xfId="0" applyFont="1" applyBorder="1" applyAlignment="1">
      <alignment horizontal="center" vertical="center"/>
    </xf>
    <xf numFmtId="9" fontId="6" fillId="6" borderId="1" xfId="0" applyNumberFormat="1" applyFont="1" applyFill="1" applyBorder="1"/>
    <xf numFmtId="0" fontId="6" fillId="6" borderId="1" xfId="1" applyNumberFormat="1" applyFont="1" applyFill="1" applyBorder="1"/>
    <xf numFmtId="0" fontId="6" fillId="0" borderId="15" xfId="0" applyFont="1" applyBorder="1" applyAlignment="1">
      <alignment vertical="center" wrapText="1"/>
    </xf>
    <xf numFmtId="0" fontId="6" fillId="0" borderId="2" xfId="0" applyFont="1" applyBorder="1" applyAlignment="1">
      <alignment vertical="center" wrapText="1"/>
    </xf>
    <xf numFmtId="0" fontId="6" fillId="0" borderId="9" xfId="0" applyFont="1" applyBorder="1" applyAlignment="1">
      <alignment vertical="center" wrapText="1"/>
    </xf>
    <xf numFmtId="9" fontId="8" fillId="7" borderId="1" xfId="0" applyNumberFormat="1" applyFont="1" applyFill="1" applyBorder="1"/>
    <xf numFmtId="9" fontId="8" fillId="7" borderId="1" xfId="0" applyNumberFormat="1" applyFont="1" applyFill="1" applyBorder="1" applyAlignment="1">
      <alignment horizontal="center"/>
    </xf>
    <xf numFmtId="0" fontId="6" fillId="0" borderId="0" xfId="0" applyFont="1" applyFill="1"/>
    <xf numFmtId="9" fontId="9" fillId="7" borderId="1" xfId="0" applyNumberFormat="1" applyFont="1" applyFill="1" applyBorder="1"/>
    <xf numFmtId="170" fontId="9" fillId="7" borderId="1" xfId="0" applyNumberFormat="1" applyFont="1" applyFill="1" applyBorder="1"/>
    <xf numFmtId="0" fontId="6" fillId="0" borderId="1" xfId="0" applyNumberFormat="1" applyFont="1" applyBorder="1"/>
    <xf numFmtId="0" fontId="6" fillId="0" borderId="1" xfId="0" applyNumberFormat="1" applyFont="1" applyFill="1" applyBorder="1"/>
    <xf numFmtId="0" fontId="0" fillId="0" borderId="0" xfId="0" applyFont="1"/>
    <xf numFmtId="0" fontId="14" fillId="2" borderId="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5" fillId="0" borderId="1" xfId="0" applyFont="1" applyBorder="1" applyAlignment="1">
      <alignment horizontal="right" vertical="center" wrapText="1"/>
    </xf>
    <xf numFmtId="0" fontId="15" fillId="0" borderId="1" xfId="0" applyFont="1" applyBorder="1" applyAlignment="1">
      <alignment vertical="center" wrapText="1"/>
    </xf>
    <xf numFmtId="169" fontId="15" fillId="0" borderId="1" xfId="2" applyNumberFormat="1" applyFont="1" applyBorder="1" applyAlignment="1">
      <alignment vertical="center" wrapText="1"/>
    </xf>
    <xf numFmtId="9" fontId="0" fillId="7" borderId="1" xfId="0" applyNumberFormat="1" applyFont="1" applyFill="1" applyBorder="1"/>
    <xf numFmtId="169" fontId="0" fillId="0" borderId="1" xfId="0" applyNumberFormat="1" applyFont="1" applyBorder="1"/>
    <xf numFmtId="0" fontId="0" fillId="0" borderId="1" xfId="0" applyFont="1" applyBorder="1"/>
    <xf numFmtId="169" fontId="16" fillId="0" borderId="1" xfId="2" applyNumberFormat="1" applyFont="1" applyBorder="1" applyAlignment="1">
      <alignment horizontal="center" vertical="center" wrapText="1"/>
    </xf>
    <xf numFmtId="167" fontId="0" fillId="0" borderId="0" xfId="0" applyNumberFormat="1" applyFont="1"/>
    <xf numFmtId="0" fontId="14" fillId="2" borderId="1" xfId="0" applyFont="1" applyFill="1" applyBorder="1" applyAlignment="1">
      <alignment vertical="center" wrapText="1"/>
    </xf>
    <xf numFmtId="9" fontId="15" fillId="0" borderId="1" xfId="3" applyNumberFormat="1" applyFont="1" applyFill="1" applyBorder="1" applyAlignment="1">
      <alignment horizontal="right" vertical="center" wrapText="1"/>
    </xf>
    <xf numFmtId="167" fontId="15" fillId="0" borderId="1" xfId="3" applyNumberFormat="1" applyFont="1" applyFill="1" applyBorder="1" applyAlignment="1">
      <alignment horizontal="right" vertical="center" wrapText="1"/>
    </xf>
    <xf numFmtId="9" fontId="15" fillId="7" borderId="1" xfId="3" applyNumberFormat="1" applyFont="1" applyFill="1" applyBorder="1" applyAlignment="1">
      <alignment horizontal="right" vertical="center" wrapText="1"/>
    </xf>
    <xf numFmtId="167" fontId="16" fillId="0" borderId="1" xfId="3" applyNumberFormat="1" applyFont="1" applyBorder="1" applyAlignment="1">
      <alignment horizontal="right" vertical="center" wrapText="1"/>
    </xf>
    <xf numFmtId="0" fontId="14" fillId="5" borderId="1" xfId="0" applyFont="1" applyFill="1" applyBorder="1" applyAlignment="1">
      <alignment vertical="center" wrapText="1"/>
    </xf>
    <xf numFmtId="0" fontId="14" fillId="5" borderId="1" xfId="0" applyFont="1" applyFill="1" applyBorder="1" applyAlignment="1">
      <alignment vertical="center"/>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0" borderId="1" xfId="0" applyFont="1" applyBorder="1" applyAlignment="1">
      <alignment horizontal="center" vertical="center" wrapText="1"/>
    </xf>
    <xf numFmtId="10" fontId="15" fillId="0" borderId="1"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10" fontId="15" fillId="0" borderId="1" xfId="1"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0" fontId="10" fillId="5" borderId="1" xfId="0" applyFont="1" applyFill="1" applyBorder="1"/>
    <xf numFmtId="0" fontId="10" fillId="5" borderId="1" xfId="0" applyFont="1" applyFill="1" applyBorder="1" applyAlignment="1">
      <alignment wrapText="1"/>
    </xf>
    <xf numFmtId="0" fontId="10" fillId="5" borderId="2" xfId="0" applyFont="1" applyFill="1" applyBorder="1" applyAlignment="1">
      <alignment wrapText="1"/>
    </xf>
    <xf numFmtId="0" fontId="0" fillId="0" borderId="1" xfId="0" applyFont="1" applyBorder="1" applyAlignment="1">
      <alignment horizontal="center"/>
    </xf>
    <xf numFmtId="0" fontId="0" fillId="0" borderId="1" xfId="0" applyFont="1" applyFill="1" applyBorder="1"/>
    <xf numFmtId="0" fontId="0" fillId="0" borderId="0" xfId="0" applyFont="1" applyBorder="1" applyAlignment="1">
      <alignment horizontal="center"/>
    </xf>
    <xf numFmtId="0" fontId="0" fillId="0" borderId="0" xfId="0" applyFont="1" applyBorder="1"/>
    <xf numFmtId="0" fontId="0" fillId="0" borderId="0" xfId="0" applyFont="1" applyFill="1" applyBorder="1"/>
    <xf numFmtId="9" fontId="0" fillId="0" borderId="0" xfId="0" applyNumberFormat="1" applyFont="1"/>
    <xf numFmtId="10" fontId="0" fillId="0" borderId="0" xfId="0" applyNumberFormat="1" applyFont="1"/>
    <xf numFmtId="0" fontId="10" fillId="2" borderId="1" xfId="0" applyFont="1" applyFill="1" applyBorder="1"/>
    <xf numFmtId="0" fontId="10" fillId="2" borderId="1" xfId="0" applyFont="1" applyFill="1" applyBorder="1" applyAlignment="1">
      <alignment horizontal="center"/>
    </xf>
    <xf numFmtId="0" fontId="12" fillId="0" borderId="1" xfId="0" applyFont="1" applyBorder="1"/>
    <xf numFmtId="0" fontId="12" fillId="0" borderId="1" xfId="0" applyFont="1" applyBorder="1" applyAlignment="1">
      <alignment wrapText="1"/>
    </xf>
    <xf numFmtId="0" fontId="0" fillId="0" borderId="1" xfId="0" applyFont="1" applyBorder="1" applyAlignment="1">
      <alignment wrapText="1"/>
    </xf>
    <xf numFmtId="0" fontId="0" fillId="0" borderId="1" xfId="0" applyFont="1" applyFill="1" applyBorder="1" applyAlignment="1">
      <alignment wrapText="1"/>
    </xf>
    <xf numFmtId="169" fontId="0" fillId="0" borderId="1" xfId="2" applyNumberFormat="1" applyFont="1" applyBorder="1"/>
    <xf numFmtId="0" fontId="12" fillId="0" borderId="1" xfId="0" applyFont="1" applyFill="1" applyBorder="1"/>
    <xf numFmtId="169" fontId="12" fillId="0" borderId="1" xfId="2" applyNumberFormat="1" applyFont="1" applyBorder="1"/>
    <xf numFmtId="0" fontId="0" fillId="6" borderId="1" xfId="0" applyFont="1" applyFill="1" applyBorder="1"/>
    <xf numFmtId="0" fontId="12" fillId="6" borderId="1" xfId="0" applyFont="1" applyFill="1" applyBorder="1"/>
    <xf numFmtId="0" fontId="0" fillId="6" borderId="1" xfId="0" applyFont="1" applyFill="1" applyBorder="1" applyAlignment="1">
      <alignment wrapText="1"/>
    </xf>
    <xf numFmtId="169" fontId="0" fillId="6" borderId="1" xfId="2" applyNumberFormat="1" applyFont="1" applyFill="1" applyBorder="1" applyAlignment="1">
      <alignment wrapText="1"/>
    </xf>
    <xf numFmtId="0" fontId="12" fillId="0" borderId="0" xfId="0" applyFont="1" applyBorder="1"/>
    <xf numFmtId="169" fontId="12" fillId="0" borderId="0" xfId="2" applyNumberFormat="1" applyFont="1" applyBorder="1"/>
    <xf numFmtId="167" fontId="0" fillId="6" borderId="0" xfId="0" applyNumberFormat="1" applyFont="1" applyFill="1" applyBorder="1"/>
    <xf numFmtId="166" fontId="0" fillId="0" borderId="0" xfId="0" applyNumberFormat="1" applyFont="1" applyBorder="1"/>
    <xf numFmtId="43" fontId="0" fillId="0" borderId="0" xfId="0" applyNumberFormat="1" applyFont="1" applyBorder="1"/>
    <xf numFmtId="1" fontId="0" fillId="0" borderId="0" xfId="0" applyNumberFormat="1" applyFont="1" applyBorder="1"/>
    <xf numFmtId="171" fontId="0" fillId="0" borderId="1" xfId="0" applyNumberFormat="1" applyFont="1" applyBorder="1"/>
    <xf numFmtId="0" fontId="12" fillId="0" borderId="0" xfId="0" applyFont="1" applyAlignment="1">
      <alignment horizontal="center"/>
    </xf>
    <xf numFmtId="169" fontId="0" fillId="6" borderId="1" xfId="2" applyNumberFormat="1" applyFont="1" applyFill="1" applyBorder="1"/>
    <xf numFmtId="167" fontId="0" fillId="6" borderId="1" xfId="0" applyNumberFormat="1" applyFont="1" applyFill="1" applyBorder="1"/>
    <xf numFmtId="169" fontId="12" fillId="6" borderId="1" xfId="2" applyNumberFormat="1" applyFont="1" applyFill="1" applyBorder="1"/>
    <xf numFmtId="164" fontId="0" fillId="0" borderId="0" xfId="2" applyFont="1"/>
    <xf numFmtId="0" fontId="0" fillId="6" borderId="0" xfId="0" applyFont="1" applyFill="1"/>
    <xf numFmtId="0" fontId="0" fillId="7" borderId="0" xfId="0" applyFont="1" applyFill="1"/>
    <xf numFmtId="171" fontId="0" fillId="0" borderId="1" xfId="0" applyNumberFormat="1" applyFont="1" applyFill="1" applyBorder="1"/>
    <xf numFmtId="167" fontId="0" fillId="0" borderId="1" xfId="3" applyNumberFormat="1" applyFont="1" applyFill="1" applyBorder="1"/>
    <xf numFmtId="167" fontId="0" fillId="6" borderId="1" xfId="3" applyNumberFormat="1" applyFont="1" applyFill="1" applyBorder="1"/>
    <xf numFmtId="167" fontId="12" fillId="0" borderId="1" xfId="0" applyNumberFormat="1" applyFont="1" applyFill="1" applyBorder="1"/>
    <xf numFmtId="167" fontId="0" fillId="0" borderId="1" xfId="0" applyNumberFormat="1" applyFont="1" applyFill="1" applyBorder="1"/>
    <xf numFmtId="9" fontId="12" fillId="0" borderId="0" xfId="0" applyNumberFormat="1" applyFont="1" applyAlignment="1">
      <alignment horizontal="center"/>
    </xf>
    <xf numFmtId="10" fontId="12" fillId="0" borderId="0" xfId="0" applyNumberFormat="1" applyFont="1" applyAlignment="1">
      <alignment horizontal="center"/>
    </xf>
    <xf numFmtId="0" fontId="12" fillId="0" borderId="0" xfId="0" applyFont="1"/>
    <xf numFmtId="169" fontId="0" fillId="0" borderId="11" xfId="2" applyNumberFormat="1" applyFont="1" applyBorder="1"/>
    <xf numFmtId="169" fontId="12" fillId="0" borderId="1" xfId="2" applyNumberFormat="1" applyFont="1" applyBorder="1" applyAlignment="1">
      <alignment wrapText="1"/>
    </xf>
    <xf numFmtId="0" fontId="10" fillId="5" borderId="1" xfId="0" applyFont="1" applyFill="1" applyBorder="1" applyAlignment="1">
      <alignment horizontal="center"/>
    </xf>
    <xf numFmtId="0" fontId="0" fillId="7" borderId="1" xfId="0" applyFont="1" applyFill="1" applyBorder="1"/>
    <xf numFmtId="9" fontId="0" fillId="7" borderId="1" xfId="1" applyFont="1" applyFill="1" applyBorder="1"/>
    <xf numFmtId="9" fontId="0" fillId="0" borderId="1" xfId="1" applyFont="1" applyFill="1" applyBorder="1"/>
    <xf numFmtId="169" fontId="0" fillId="0" borderId="0" xfId="2" applyNumberFormat="1" applyFont="1" applyBorder="1"/>
    <xf numFmtId="169" fontId="0" fillId="0" borderId="0" xfId="2" applyNumberFormat="1" applyFont="1"/>
    <xf numFmtId="43" fontId="0" fillId="0" borderId="0" xfId="0" applyNumberFormat="1" applyFont="1"/>
    <xf numFmtId="9" fontId="0" fillId="0" borderId="1" xfId="1" applyFont="1" applyBorder="1"/>
    <xf numFmtId="169" fontId="0" fillId="0" borderId="1" xfId="2" applyNumberFormat="1" applyFont="1" applyFill="1" applyBorder="1"/>
    <xf numFmtId="169" fontId="0" fillId="0" borderId="0" xfId="0" applyNumberFormat="1" applyFont="1"/>
    <xf numFmtId="169" fontId="0" fillId="0" borderId="10" xfId="2" applyNumberFormat="1" applyFont="1" applyBorder="1"/>
    <xf numFmtId="1" fontId="0" fillId="0" borderId="1" xfId="0" applyNumberFormat="1" applyFont="1" applyBorder="1"/>
    <xf numFmtId="9" fontId="0" fillId="0" borderId="1" xfId="0" applyNumberFormat="1" applyFont="1" applyBorder="1"/>
    <xf numFmtId="167" fontId="12" fillId="0" borderId="1" xfId="3" applyNumberFormat="1" applyFont="1" applyBorder="1"/>
    <xf numFmtId="0" fontId="12" fillId="7" borderId="1" xfId="0" applyFont="1" applyFill="1" applyBorder="1"/>
    <xf numFmtId="9" fontId="12" fillId="7" borderId="1" xfId="1" applyFont="1" applyFill="1" applyBorder="1"/>
    <xf numFmtId="167" fontId="12" fillId="7" borderId="1" xfId="3" applyNumberFormat="1" applyFont="1" applyFill="1" applyBorder="1"/>
    <xf numFmtId="0" fontId="0" fillId="0" borderId="0" xfId="0" applyFont="1" applyAlignment="1">
      <alignment horizontal="center"/>
    </xf>
    <xf numFmtId="43" fontId="0" fillId="0" borderId="1" xfId="0" applyNumberFormat="1" applyFont="1" applyFill="1" applyBorder="1"/>
    <xf numFmtId="0" fontId="12" fillId="0" borderId="0" xfId="0" applyFont="1" applyBorder="1" applyAlignment="1">
      <alignment horizontal="center"/>
    </xf>
    <xf numFmtId="9" fontId="12" fillId="0" borderId="0" xfId="0" applyNumberFormat="1" applyFont="1" applyBorder="1" applyAlignment="1">
      <alignment horizontal="center"/>
    </xf>
    <xf numFmtId="10" fontId="12" fillId="0" borderId="0" xfId="0" applyNumberFormat="1" applyFont="1" applyBorder="1" applyAlignment="1">
      <alignment horizontal="center"/>
    </xf>
    <xf numFmtId="167" fontId="0" fillId="0" borderId="1" xfId="0" applyNumberFormat="1" applyFont="1" applyBorder="1"/>
    <xf numFmtId="171" fontId="12" fillId="6" borderId="1" xfId="0" applyNumberFormat="1" applyFont="1" applyFill="1" applyBorder="1"/>
    <xf numFmtId="167" fontId="12" fillId="0" borderId="1" xfId="0" applyNumberFormat="1" applyFont="1" applyBorder="1"/>
    <xf numFmtId="2" fontId="0" fillId="0" borderId="1" xfId="0" applyNumberFormat="1" applyFont="1" applyBorder="1"/>
    <xf numFmtId="0" fontId="10" fillId="0" borderId="0" xfId="0" applyFont="1" applyFill="1" applyBorder="1" applyAlignment="1">
      <alignment horizontal="center"/>
    </xf>
    <xf numFmtId="0" fontId="0" fillId="0" borderId="0" xfId="0" applyNumberFormat="1" applyFont="1" applyFill="1" applyBorder="1"/>
    <xf numFmtId="1" fontId="0" fillId="0" borderId="0" xfId="0" applyNumberFormat="1" applyFont="1" applyFill="1" applyBorder="1"/>
    <xf numFmtId="0" fontId="12" fillId="0" borderId="0" xfId="0" applyFont="1" applyFill="1" applyBorder="1"/>
    <xf numFmtId="169" fontId="12" fillId="0" borderId="0" xfId="2" applyNumberFormat="1" applyFont="1" applyFill="1" applyBorder="1"/>
    <xf numFmtId="0" fontId="12" fillId="0" borderId="0" xfId="0" applyFont="1" applyAlignment="1"/>
    <xf numFmtId="9" fontId="0" fillId="0" borderId="0" xfId="1" applyFont="1"/>
    <xf numFmtId="170" fontId="0" fillId="0" borderId="0" xfId="0" applyNumberFormat="1" applyFont="1"/>
    <xf numFmtId="0" fontId="12" fillId="0" borderId="6" xfId="0" applyFont="1" applyFill="1" applyBorder="1" applyAlignment="1">
      <alignment wrapText="1"/>
    </xf>
    <xf numFmtId="9" fontId="0" fillId="6" borderId="1" xfId="1" applyFont="1" applyFill="1" applyBorder="1"/>
    <xf numFmtId="169" fontId="0" fillId="7" borderId="1" xfId="2" applyNumberFormat="1" applyFont="1" applyFill="1" applyBorder="1"/>
    <xf numFmtId="0" fontId="0" fillId="0" borderId="9" xfId="0" applyFont="1" applyBorder="1" applyAlignment="1">
      <alignment horizontal="center" vertical="center"/>
    </xf>
    <xf numFmtId="9" fontId="0" fillId="6" borderId="1" xfId="0" applyNumberFormat="1" applyFont="1" applyFill="1" applyBorder="1"/>
    <xf numFmtId="0" fontId="0" fillId="0" borderId="1" xfId="1" applyNumberFormat="1" applyFont="1" applyFill="1" applyBorder="1"/>
    <xf numFmtId="0" fontId="0" fillId="0" borderId="15" xfId="0" applyFont="1" applyBorder="1" applyAlignment="1">
      <alignment vertical="center" wrapText="1"/>
    </xf>
    <xf numFmtId="0" fontId="0" fillId="0" borderId="2" xfId="0" applyFont="1" applyBorder="1" applyAlignment="1">
      <alignment vertical="center" wrapText="1"/>
    </xf>
    <xf numFmtId="0" fontId="0" fillId="0" borderId="9" xfId="0" applyFont="1" applyBorder="1" applyAlignment="1">
      <alignment vertical="center" wrapText="1"/>
    </xf>
    <xf numFmtId="9" fontId="10" fillId="7" borderId="1" xfId="0" applyNumberFormat="1" applyFont="1" applyFill="1" applyBorder="1"/>
    <xf numFmtId="9" fontId="10" fillId="7" borderId="1" xfId="0" applyNumberFormat="1" applyFont="1" applyFill="1" applyBorder="1" applyAlignment="1">
      <alignment horizontal="right"/>
    </xf>
    <xf numFmtId="0" fontId="0" fillId="0" borderId="0" xfId="0" applyFont="1" applyFill="1"/>
    <xf numFmtId="0" fontId="19" fillId="0" borderId="0" xfId="0" applyFont="1"/>
    <xf numFmtId="0" fontId="13" fillId="5" borderId="1" xfId="0" applyFont="1" applyFill="1" applyBorder="1" applyAlignment="1">
      <alignment horizontal="left"/>
    </xf>
    <xf numFmtId="0" fontId="13" fillId="5" borderId="1" xfId="0" applyFont="1" applyFill="1" applyBorder="1" applyAlignment="1">
      <alignment horizontal="center"/>
    </xf>
    <xf numFmtId="0" fontId="11" fillId="5" borderId="6" xfId="0" applyFont="1" applyFill="1" applyBorder="1" applyAlignment="1">
      <alignment horizontal="center"/>
    </xf>
    <xf numFmtId="0" fontId="19" fillId="0" borderId="1" xfId="0" applyFont="1" applyBorder="1"/>
    <xf numFmtId="169" fontId="19" fillId="0" borderId="1" xfId="0" applyNumberFormat="1" applyFont="1" applyBorder="1"/>
    <xf numFmtId="0" fontId="18" fillId="0" borderId="1" xfId="0" applyFont="1" applyBorder="1"/>
    <xf numFmtId="3" fontId="19" fillId="0" borderId="1" xfId="2" applyNumberFormat="1" applyFont="1" applyBorder="1"/>
    <xf numFmtId="10" fontId="19" fillId="0" borderId="1" xfId="0" applyNumberFormat="1" applyFont="1" applyBorder="1"/>
    <xf numFmtId="4" fontId="19" fillId="0" borderId="1" xfId="0" applyNumberFormat="1" applyFont="1" applyBorder="1"/>
    <xf numFmtId="0" fontId="19" fillId="0" borderId="1" xfId="0" quotePrefix="1" applyFont="1" applyBorder="1" applyAlignment="1">
      <alignment horizontal="left"/>
    </xf>
    <xf numFmtId="4" fontId="20" fillId="0" borderId="1" xfId="0" applyNumberFormat="1" applyFont="1" applyBorder="1"/>
    <xf numFmtId="4" fontId="0" fillId="0" borderId="1" xfId="0" applyNumberFormat="1" applyFont="1" applyBorder="1"/>
    <xf numFmtId="4" fontId="0" fillId="0" borderId="0" xfId="0" applyNumberFormat="1" applyFont="1"/>
    <xf numFmtId="0" fontId="19" fillId="0" borderId="0" xfId="0" applyFont="1" applyBorder="1"/>
    <xf numFmtId="0" fontId="13" fillId="5" borderId="1" xfId="0" applyFont="1" applyFill="1" applyBorder="1"/>
    <xf numFmtId="10" fontId="12" fillId="0" borderId="0" xfId="1" applyNumberFormat="1" applyFont="1"/>
    <xf numFmtId="3" fontId="0" fillId="0" borderId="1" xfId="0" applyNumberFormat="1" applyFont="1" applyBorder="1"/>
    <xf numFmtId="0" fontId="20" fillId="0" borderId="1" xfId="0" applyFont="1" applyBorder="1"/>
    <xf numFmtId="0" fontId="20" fillId="0" borderId="0" xfId="0" applyFont="1"/>
    <xf numFmtId="164" fontId="0" fillId="0" borderId="0" xfId="0" applyNumberFormat="1" applyFont="1"/>
    <xf numFmtId="0" fontId="19" fillId="0" borderId="1" xfId="0" applyFont="1" applyBorder="1" applyAlignment="1">
      <alignment horizontal="center"/>
    </xf>
    <xf numFmtId="0" fontId="20" fillId="0" borderId="1" xfId="0" applyFont="1" applyFill="1" applyBorder="1" applyAlignment="1">
      <alignment horizontal="center"/>
    </xf>
    <xf numFmtId="0" fontId="12" fillId="0" borderId="1" xfId="0" applyFont="1" applyBorder="1" applyAlignment="1">
      <alignment horizontal="center" vertical="center"/>
    </xf>
    <xf numFmtId="169" fontId="19" fillId="0" borderId="1" xfId="2" applyNumberFormat="1" applyFont="1" applyBorder="1" applyAlignment="1">
      <alignment horizontal="center"/>
    </xf>
    <xf numFmtId="169" fontId="0" fillId="0" borderId="1" xfId="2" applyNumberFormat="1" applyFont="1" applyBorder="1" applyAlignment="1"/>
    <xf numFmtId="0" fontId="0" fillId="0" borderId="1" xfId="0" applyFont="1" applyBorder="1" applyAlignment="1">
      <alignment horizontal="center" vertical="center"/>
    </xf>
    <xf numFmtId="169" fontId="12" fillId="0" borderId="1" xfId="2" applyNumberFormat="1" applyFont="1" applyBorder="1" applyAlignment="1"/>
    <xf numFmtId="2" fontId="12" fillId="0" borderId="1" xfId="0" applyNumberFormat="1" applyFont="1" applyBorder="1" applyAlignment="1"/>
    <xf numFmtId="0" fontId="12" fillId="0" borderId="0" xfId="0" applyFont="1" applyFill="1"/>
    <xf numFmtId="2" fontId="12" fillId="0" borderId="0" xfId="0" applyNumberFormat="1" applyFont="1"/>
    <xf numFmtId="169" fontId="12" fillId="0" borderId="1" xfId="0" applyNumberFormat="1" applyFont="1" applyBorder="1"/>
    <xf numFmtId="2" fontId="12" fillId="0" borderId="1" xfId="0" applyNumberFormat="1" applyFont="1" applyBorder="1"/>
    <xf numFmtId="2" fontId="0" fillId="0" borderId="0" xfId="0" applyNumberFormat="1" applyFont="1"/>
    <xf numFmtId="0" fontId="19" fillId="0" borderId="1" xfId="0" applyFont="1" applyFill="1" applyBorder="1"/>
    <xf numFmtId="169" fontId="19" fillId="0" borderId="1" xfId="2" applyNumberFormat="1" applyFont="1" applyFill="1" applyBorder="1"/>
    <xf numFmtId="9" fontId="12" fillId="7" borderId="0" xfId="0" applyNumberFormat="1" applyFont="1" applyFill="1"/>
    <xf numFmtId="0" fontId="18" fillId="0" borderId="1" xfId="0" applyFont="1" applyFill="1" applyBorder="1"/>
    <xf numFmtId="169" fontId="18" fillId="0" borderId="1" xfId="2" applyNumberFormat="1" applyFont="1" applyFill="1" applyBorder="1"/>
    <xf numFmtId="0" fontId="19" fillId="0" borderId="0" xfId="0" applyFont="1" applyFill="1"/>
    <xf numFmtId="171" fontId="19" fillId="0" borderId="0" xfId="10" applyNumberFormat="1" applyFont="1" applyFill="1"/>
    <xf numFmtId="171" fontId="19" fillId="0" borderId="1" xfId="10" applyNumberFormat="1" applyFont="1" applyFill="1" applyBorder="1"/>
    <xf numFmtId="175" fontId="19" fillId="0" borderId="1" xfId="10" applyNumberFormat="1" applyFont="1" applyFill="1" applyBorder="1"/>
    <xf numFmtId="43" fontId="19" fillId="0" borderId="1" xfId="10" applyFont="1" applyFill="1" applyBorder="1"/>
    <xf numFmtId="164" fontId="18" fillId="0" borderId="1" xfId="10" applyNumberFormat="1" applyFont="1" applyFill="1" applyBorder="1"/>
    <xf numFmtId="171" fontId="18" fillId="0" borderId="1" xfId="10" applyNumberFormat="1" applyFont="1" applyFill="1" applyBorder="1"/>
    <xf numFmtId="0" fontId="23" fillId="0" borderId="0" xfId="0" applyFont="1" applyAlignment="1"/>
    <xf numFmtId="0" fontId="12" fillId="0" borderId="0" xfId="0" applyFont="1" applyBorder="1" applyAlignment="1"/>
    <xf numFmtId="0" fontId="10" fillId="2" borderId="1" xfId="0" applyFont="1" applyFill="1" applyBorder="1" applyAlignment="1">
      <alignment wrapText="1"/>
    </xf>
    <xf numFmtId="0" fontId="10" fillId="2" borderId="1" xfId="0" applyFont="1" applyFill="1" applyBorder="1" applyAlignment="1">
      <alignment horizontal="center" wrapText="1"/>
    </xf>
    <xf numFmtId="0" fontId="18" fillId="0" borderId="1" xfId="0" applyFont="1" applyFill="1" applyBorder="1" applyAlignment="1">
      <alignment wrapText="1"/>
    </xf>
    <xf numFmtId="169" fontId="19" fillId="0" borderId="1" xfId="3" applyNumberFormat="1" applyFont="1" applyFill="1" applyBorder="1" applyAlignment="1">
      <alignment wrapText="1"/>
    </xf>
    <xf numFmtId="0" fontId="19" fillId="0" borderId="1" xfId="0" applyFont="1" applyFill="1" applyBorder="1" applyAlignment="1">
      <alignment horizontal="left" wrapText="1"/>
    </xf>
    <xf numFmtId="169" fontId="18" fillId="0" borderId="1" xfId="3" applyNumberFormat="1" applyFont="1" applyFill="1" applyBorder="1" applyAlignment="1">
      <alignment wrapText="1"/>
    </xf>
    <xf numFmtId="0" fontId="19" fillId="0" borderId="1" xfId="0" applyFont="1" applyFill="1" applyBorder="1" applyAlignment="1">
      <alignment wrapText="1"/>
    </xf>
    <xf numFmtId="0" fontId="19" fillId="0" borderId="1" xfId="0" applyFont="1" applyFill="1" applyBorder="1" applyAlignment="1">
      <alignment horizontal="right" wrapText="1"/>
    </xf>
    <xf numFmtId="167" fontId="19" fillId="0" borderId="1" xfId="3" applyNumberFormat="1" applyFont="1" applyFill="1" applyBorder="1" applyAlignment="1">
      <alignment wrapText="1"/>
    </xf>
    <xf numFmtId="0" fontId="19" fillId="0" borderId="1" xfId="0" applyFont="1" applyFill="1" applyBorder="1" applyAlignment="1">
      <alignment vertical="center" wrapText="1"/>
    </xf>
    <xf numFmtId="169" fontId="19" fillId="0" borderId="1" xfId="2" applyNumberFormat="1" applyFont="1" applyFill="1" applyBorder="1" applyAlignment="1">
      <alignment wrapText="1"/>
    </xf>
    <xf numFmtId="0" fontId="18" fillId="0" borderId="1" xfId="0" applyFont="1" applyFill="1" applyBorder="1" applyAlignment="1">
      <alignment horizontal="right" wrapText="1"/>
    </xf>
    <xf numFmtId="169" fontId="19" fillId="4" borderId="1" xfId="3" applyNumberFormat="1" applyFont="1" applyFill="1" applyBorder="1" applyAlignment="1">
      <alignment wrapText="1"/>
    </xf>
    <xf numFmtId="169" fontId="18" fillId="0" borderId="1" xfId="0" applyNumberFormat="1" applyFont="1" applyFill="1" applyBorder="1" applyAlignment="1">
      <alignment wrapText="1"/>
    </xf>
    <xf numFmtId="169" fontId="19" fillId="0" borderId="1" xfId="0" applyNumberFormat="1" applyFont="1" applyFill="1" applyBorder="1" applyAlignment="1">
      <alignment wrapText="1"/>
    </xf>
    <xf numFmtId="0" fontId="18" fillId="0" borderId="1" xfId="0" applyFont="1" applyFill="1" applyBorder="1" applyAlignment="1">
      <alignment horizontal="left" wrapText="1"/>
    </xf>
    <xf numFmtId="0" fontId="20" fillId="0" borderId="0" xfId="0" applyFont="1" applyBorder="1" applyAlignment="1">
      <alignment vertical="center"/>
    </xf>
    <xf numFmtId="0" fontId="24" fillId="0" borderId="0" xfId="0" applyFont="1" applyBorder="1" applyAlignment="1">
      <alignment vertical="center"/>
    </xf>
    <xf numFmtId="0" fontId="17" fillId="0" borderId="0" xfId="0" applyFont="1" applyBorder="1" applyAlignment="1">
      <alignment vertical="center"/>
    </xf>
    <xf numFmtId="0" fontId="10" fillId="2" borderId="13" xfId="0" applyFont="1" applyFill="1" applyBorder="1" applyAlignment="1">
      <alignment vertical="center"/>
    </xf>
    <xf numFmtId="0" fontId="10" fillId="2" borderId="9" xfId="0" applyFont="1" applyFill="1" applyBorder="1" applyAlignment="1">
      <alignment horizontal="center"/>
    </xf>
    <xf numFmtId="0" fontId="20" fillId="0" borderId="3" xfId="0" applyFont="1" applyFill="1" applyBorder="1" applyAlignment="1">
      <alignment vertical="center"/>
    </xf>
    <xf numFmtId="37" fontId="17" fillId="0" borderId="1" xfId="3" applyNumberFormat="1" applyFont="1" applyFill="1" applyBorder="1" applyAlignment="1">
      <alignment vertical="center"/>
    </xf>
    <xf numFmtId="3" fontId="25" fillId="0" borderId="1" xfId="9" applyNumberFormat="1" applyFont="1" applyFill="1" applyBorder="1" applyAlignment="1">
      <alignment horizontal="right" vertical="center"/>
    </xf>
    <xf numFmtId="0" fontId="20" fillId="0" borderId="0" xfId="0" applyFont="1" applyFill="1" applyBorder="1" applyAlignment="1">
      <alignment vertical="center"/>
    </xf>
    <xf numFmtId="0" fontId="26" fillId="0" borderId="3" xfId="0" applyFont="1" applyFill="1" applyBorder="1" applyAlignment="1">
      <alignment vertical="center"/>
    </xf>
    <xf numFmtId="4" fontId="20" fillId="0" borderId="1" xfId="3" applyNumberFormat="1" applyFont="1" applyFill="1" applyBorder="1" applyAlignment="1">
      <alignment vertical="center"/>
    </xf>
    <xf numFmtId="0" fontId="17" fillId="0" borderId="3" xfId="0" applyFont="1" applyFill="1" applyBorder="1" applyAlignment="1">
      <alignment horizontal="left" vertical="center"/>
    </xf>
    <xf numFmtId="4" fontId="27" fillId="0" borderId="1" xfId="3" applyNumberFormat="1" applyFont="1" applyFill="1" applyBorder="1" applyAlignment="1">
      <alignment vertical="center"/>
    </xf>
    <xf numFmtId="0" fontId="17" fillId="0" borderId="3" xfId="0" applyFont="1" applyFill="1" applyBorder="1" applyAlignment="1">
      <alignment horizontal="left" vertical="center" indent="1"/>
    </xf>
    <xf numFmtId="3" fontId="20" fillId="0" borderId="1" xfId="3" applyNumberFormat="1" applyFont="1" applyFill="1" applyBorder="1" applyAlignment="1">
      <alignment vertical="center"/>
    </xf>
    <xf numFmtId="3" fontId="20" fillId="0" borderId="0" xfId="0" applyNumberFormat="1" applyFont="1" applyBorder="1" applyAlignment="1">
      <alignment vertical="center"/>
    </xf>
    <xf numFmtId="0" fontId="20" fillId="0" borderId="3" xfId="0" applyFont="1" applyFill="1" applyBorder="1" applyAlignment="1">
      <alignment horizontal="left" vertical="center" indent="1"/>
    </xf>
    <xf numFmtId="3" fontId="17" fillId="0" borderId="1" xfId="3" applyNumberFormat="1" applyFont="1" applyFill="1" applyBorder="1" applyAlignment="1">
      <alignment vertical="center"/>
    </xf>
    <xf numFmtId="0" fontId="20" fillId="0" borderId="3" xfId="0" applyFont="1" applyFill="1" applyBorder="1" applyAlignment="1">
      <alignment horizontal="left" vertical="center"/>
    </xf>
    <xf numFmtId="0" fontId="17" fillId="0" borderId="3" xfId="0" applyFont="1" applyFill="1" applyBorder="1" applyAlignment="1">
      <alignment vertical="center"/>
    </xf>
    <xf numFmtId="3" fontId="17" fillId="0" borderId="1" xfId="9" applyNumberFormat="1" applyFont="1" applyFill="1" applyBorder="1" applyAlignment="1">
      <alignment vertical="center"/>
    </xf>
    <xf numFmtId="3" fontId="20" fillId="0" borderId="1" xfId="9" applyNumberFormat="1" applyFont="1" applyFill="1" applyBorder="1" applyAlignment="1">
      <alignment vertical="center"/>
    </xf>
    <xf numFmtId="3" fontId="27" fillId="0" borderId="1" xfId="3" applyNumberFormat="1" applyFont="1" applyFill="1" applyBorder="1" applyAlignment="1">
      <alignment vertical="center"/>
    </xf>
    <xf numFmtId="3" fontId="25" fillId="0" borderId="1" xfId="3" applyNumberFormat="1" applyFont="1" applyFill="1" applyBorder="1" applyAlignment="1">
      <alignment vertical="center"/>
    </xf>
    <xf numFmtId="3" fontId="20" fillId="0" borderId="1" xfId="0" applyNumberFormat="1" applyFont="1" applyFill="1" applyBorder="1" applyAlignment="1">
      <alignment vertical="center"/>
    </xf>
    <xf numFmtId="0" fontId="18" fillId="0" borderId="3" xfId="0" applyFont="1" applyFill="1" applyBorder="1" applyAlignment="1">
      <alignment vertical="center"/>
    </xf>
    <xf numFmtId="3" fontId="18" fillId="0" borderId="1" xfId="3" applyNumberFormat="1" applyFont="1" applyFill="1" applyBorder="1" applyAlignment="1">
      <alignment vertical="center"/>
    </xf>
    <xf numFmtId="4" fontId="20" fillId="0" borderId="1" xfId="0" applyNumberFormat="1" applyFont="1" applyFill="1" applyBorder="1" applyAlignment="1">
      <alignment vertical="center"/>
    </xf>
    <xf numFmtId="0" fontId="28" fillId="0" borderId="3" xfId="0" applyFont="1" applyFill="1" applyBorder="1" applyAlignment="1">
      <alignment vertical="center"/>
    </xf>
    <xf numFmtId="4" fontId="29" fillId="0" borderId="1" xfId="0" applyNumberFormat="1" applyFont="1" applyFill="1" applyBorder="1" applyAlignment="1">
      <alignment vertical="center"/>
    </xf>
    <xf numFmtId="0" fontId="30" fillId="0" borderId="3" xfId="0" applyFont="1" applyFill="1" applyBorder="1" applyAlignment="1">
      <alignment vertical="center"/>
    </xf>
    <xf numFmtId="4" fontId="30" fillId="0" borderId="1" xfId="9" applyNumberFormat="1" applyFont="1" applyFill="1" applyBorder="1" applyAlignment="1">
      <alignment vertical="center"/>
    </xf>
    <xf numFmtId="0" fontId="30" fillId="0" borderId="4" xfId="0" applyFont="1" applyFill="1" applyBorder="1" applyAlignment="1">
      <alignment vertical="center"/>
    </xf>
    <xf numFmtId="4" fontId="30" fillId="0" borderId="5" xfId="0" applyNumberFormat="1" applyFont="1" applyFill="1" applyBorder="1" applyAlignment="1">
      <alignment vertical="center"/>
    </xf>
    <xf numFmtId="4" fontId="20" fillId="0" borderId="0" xfId="0" applyNumberFormat="1" applyFont="1" applyBorder="1" applyAlignment="1">
      <alignment vertical="center"/>
    </xf>
    <xf numFmtId="0" fontId="34" fillId="0" borderId="0" xfId="0" applyFont="1"/>
    <xf numFmtId="0" fontId="20" fillId="6" borderId="0" xfId="0" applyFont="1" applyFill="1"/>
    <xf numFmtId="0" fontId="17" fillId="6" borderId="1" xfId="0" applyFont="1" applyFill="1" applyBorder="1"/>
    <xf numFmtId="0" fontId="17" fillId="5" borderId="1" xfId="0" applyFont="1" applyFill="1" applyBorder="1"/>
    <xf numFmtId="0" fontId="20" fillId="6" borderId="1" xfId="0" applyFont="1" applyFill="1" applyBorder="1"/>
    <xf numFmtId="2" fontId="20" fillId="6" borderId="1" xfId="0" applyNumberFormat="1" applyFont="1" applyFill="1" applyBorder="1"/>
    <xf numFmtId="176" fontId="20" fillId="6" borderId="1" xfId="0" applyNumberFormat="1" applyFont="1" applyFill="1" applyBorder="1"/>
    <xf numFmtId="2" fontId="17" fillId="6" borderId="1" xfId="0" applyNumberFormat="1" applyFont="1" applyFill="1" applyBorder="1"/>
    <xf numFmtId="0" fontId="22" fillId="0" borderId="0" xfId="0" applyFont="1" applyAlignment="1"/>
    <xf numFmtId="0" fontId="0" fillId="0" borderId="0" xfId="0" applyFont="1" applyAlignment="1">
      <alignment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69" fontId="20" fillId="0" borderId="1"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vertical="center" wrapText="1"/>
    </xf>
    <xf numFmtId="0" fontId="16" fillId="6" borderId="1" xfId="0" applyFont="1" applyFill="1" applyBorder="1" applyAlignment="1">
      <alignment horizontal="center" vertical="center" wrapText="1"/>
    </xf>
    <xf numFmtId="169" fontId="15" fillId="0" borderId="1" xfId="2"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6" borderId="11" xfId="0" applyFont="1" applyFill="1" applyBorder="1" applyAlignment="1">
      <alignment horizontal="center" vertical="center" wrapText="1"/>
    </xf>
    <xf numFmtId="169" fontId="16" fillId="0" borderId="1" xfId="2" applyNumberFormat="1" applyFont="1" applyFill="1" applyBorder="1" applyAlignment="1">
      <alignment horizontal="right" vertical="center" wrapText="1"/>
    </xf>
    <xf numFmtId="9" fontId="16" fillId="7" borderId="1" xfId="0" applyNumberFormat="1" applyFont="1" applyFill="1" applyBorder="1" applyAlignment="1">
      <alignment horizontal="center" vertical="center" wrapText="1"/>
    </xf>
    <xf numFmtId="9" fontId="0" fillId="7" borderId="0" xfId="0" applyNumberFormat="1" applyFont="1" applyFill="1"/>
    <xf numFmtId="0" fontId="0" fillId="7" borderId="0" xfId="0" applyNumberFormat="1" applyFont="1" applyFill="1"/>
    <xf numFmtId="165" fontId="0" fillId="0" borderId="0" xfId="0" applyNumberFormat="1" applyFont="1"/>
    <xf numFmtId="174" fontId="0" fillId="0" borderId="0" xfId="0" applyNumberFormat="1" applyFont="1"/>
    <xf numFmtId="0" fontId="10" fillId="2" borderId="1" xfId="0" applyFont="1" applyFill="1" applyBorder="1" applyAlignment="1">
      <alignment horizontal="right"/>
    </xf>
    <xf numFmtId="2" fontId="10" fillId="2" borderId="1" xfId="0" applyNumberFormat="1" applyFont="1" applyFill="1" applyBorder="1" applyAlignment="1">
      <alignment horizontal="right"/>
    </xf>
    <xf numFmtId="0" fontId="17" fillId="0" borderId="0" xfId="6" applyFont="1" applyFill="1" applyBorder="1" applyAlignment="1">
      <alignment horizontal="center"/>
    </xf>
    <xf numFmtId="0" fontId="10" fillId="2" borderId="1" xfId="8" applyFont="1" applyFill="1" applyBorder="1" applyAlignment="1" applyProtection="1"/>
    <xf numFmtId="0" fontId="18" fillId="2" borderId="1" xfId="0" applyFont="1" applyFill="1" applyBorder="1"/>
    <xf numFmtId="0" fontId="18" fillId="0" borderId="1" xfId="0" applyFont="1" applyFill="1" applyBorder="1" applyAlignment="1">
      <alignment horizontal="center"/>
    </xf>
    <xf numFmtId="0" fontId="35" fillId="0" borderId="1" xfId="0" applyFont="1" applyFill="1" applyBorder="1"/>
    <xf numFmtId="0" fontId="36" fillId="0" borderId="1" xfId="0" applyFont="1" applyFill="1" applyBorder="1" applyAlignment="1">
      <alignment horizontal="center"/>
    </xf>
    <xf numFmtId="0" fontId="0" fillId="0" borderId="1" xfId="0" applyFont="1" applyFill="1" applyBorder="1" applyAlignment="1">
      <alignment horizontal="left"/>
    </xf>
    <xf numFmtId="0" fontId="18" fillId="0" borderId="1" xfId="0" applyFont="1" applyFill="1" applyBorder="1" applyAlignment="1">
      <alignment horizontal="left"/>
    </xf>
    <xf numFmtId="167" fontId="20" fillId="0" borderId="1" xfId="0" applyNumberFormat="1" applyFont="1" applyFill="1" applyBorder="1"/>
    <xf numFmtId="0" fontId="12" fillId="0" borderId="1" xfId="0" applyFont="1" applyFill="1" applyBorder="1" applyAlignment="1">
      <alignment horizontal="left"/>
    </xf>
    <xf numFmtId="167" fontId="17" fillId="0" borderId="1" xfId="0" applyNumberFormat="1" applyFont="1" applyFill="1" applyBorder="1"/>
    <xf numFmtId="0" fontId="0" fillId="0" borderId="0" xfId="0" applyFont="1" applyAlignment="1">
      <alignment horizontal="left"/>
    </xf>
    <xf numFmtId="167" fontId="20" fillId="0" borderId="0" xfId="0" applyNumberFormat="1" applyFont="1" applyFill="1" applyBorder="1"/>
    <xf numFmtId="0" fontId="18" fillId="3" borderId="0" xfId="0" applyFont="1" applyFill="1" applyBorder="1" applyAlignment="1">
      <alignment horizontal="left" wrapText="1"/>
    </xf>
    <xf numFmtId="0" fontId="18" fillId="0" borderId="0" xfId="0" applyFont="1" applyFill="1" applyBorder="1" applyAlignment="1">
      <alignment horizontal="center"/>
    </xf>
    <xf numFmtId="0" fontId="18" fillId="0" borderId="0" xfId="0" applyFont="1" applyFill="1" applyBorder="1"/>
    <xf numFmtId="0" fontId="18" fillId="0" borderId="0" xfId="0" applyFont="1" applyFill="1" applyBorder="1" applyAlignment="1">
      <alignment wrapText="1"/>
    </xf>
    <xf numFmtId="10" fontId="0" fillId="0" borderId="0" xfId="0" applyNumberFormat="1" applyFont="1" applyBorder="1"/>
    <xf numFmtId="0" fontId="0" fillId="0" borderId="0" xfId="0" applyFont="1" applyFill="1" applyBorder="1" applyAlignment="1">
      <alignment wrapText="1"/>
    </xf>
    <xf numFmtId="10" fontId="19" fillId="0" borderId="0" xfId="1" applyNumberFormat="1" applyFont="1" applyBorder="1"/>
    <xf numFmtId="9" fontId="0" fillId="0" borderId="0" xfId="0" applyNumberFormat="1" applyFont="1" applyBorder="1"/>
    <xf numFmtId="9" fontId="0" fillId="0" borderId="0" xfId="0" applyNumberFormat="1" applyFont="1" applyFill="1" applyBorder="1"/>
    <xf numFmtId="0" fontId="37" fillId="0" borderId="0" xfId="8" applyFont="1" applyFill="1" applyBorder="1" applyAlignment="1" applyProtection="1"/>
    <xf numFmtId="0" fontId="10" fillId="5" borderId="1" xfId="0" applyFont="1" applyFill="1" applyBorder="1" applyAlignment="1">
      <alignment vertical="center"/>
    </xf>
    <xf numFmtId="0" fontId="10" fillId="5" borderId="1" xfId="0" applyFont="1" applyFill="1" applyBorder="1" applyAlignment="1">
      <alignment horizontal="center" vertical="center"/>
    </xf>
    <xf numFmtId="167" fontId="13" fillId="5" borderId="1" xfId="3" applyNumberFormat="1" applyFont="1" applyFill="1" applyBorder="1" applyAlignment="1">
      <alignment horizontal="center"/>
    </xf>
    <xf numFmtId="167" fontId="20" fillId="0" borderId="0" xfId="3" applyNumberFormat="1" applyFont="1" applyFill="1" applyBorder="1"/>
    <xf numFmtId="0" fontId="17" fillId="0" borderId="1" xfId="0" applyFont="1" applyBorder="1" applyAlignment="1">
      <alignment vertical="center"/>
    </xf>
    <xf numFmtId="0" fontId="17" fillId="0" borderId="1" xfId="0" applyFont="1" applyBorder="1" applyAlignment="1">
      <alignment horizontal="center" vertical="center"/>
    </xf>
    <xf numFmtId="167" fontId="20" fillId="0" borderId="1" xfId="3" applyNumberFormat="1" applyFont="1" applyFill="1" applyBorder="1"/>
    <xf numFmtId="0" fontId="17" fillId="0" borderId="1" xfId="0" applyFont="1" applyBorder="1"/>
    <xf numFmtId="167" fontId="17" fillId="0" borderId="1" xfId="0" applyNumberFormat="1" applyFont="1" applyBorder="1"/>
    <xf numFmtId="167" fontId="17" fillId="0" borderId="0" xfId="0" applyNumberFormat="1" applyFont="1"/>
    <xf numFmtId="38" fontId="17" fillId="0" borderId="0" xfId="0" applyNumberFormat="1" applyFont="1" applyFill="1" applyBorder="1" applyAlignment="1">
      <alignment horizontal="left"/>
    </xf>
    <xf numFmtId="0" fontId="20" fillId="0" borderId="0" xfId="0" applyFont="1" applyFill="1" applyBorder="1"/>
    <xf numFmtId="0" fontId="17" fillId="0" borderId="0" xfId="6" applyFont="1" applyFill="1" applyBorder="1" applyAlignment="1"/>
    <xf numFmtId="0" fontId="17" fillId="0" borderId="0" xfId="0" applyFont="1" applyFill="1" applyBorder="1"/>
    <xf numFmtId="173" fontId="20" fillId="0" borderId="1" xfId="9" applyNumberFormat="1" applyFont="1" applyFill="1" applyBorder="1" applyAlignment="1">
      <alignment vertical="center"/>
    </xf>
    <xf numFmtId="174" fontId="17" fillId="0" borderId="0" xfId="9" applyNumberFormat="1" applyFont="1" applyFill="1" applyBorder="1" applyAlignment="1">
      <alignment vertical="center"/>
    </xf>
    <xf numFmtId="173" fontId="17" fillId="0" borderId="1" xfId="9" applyNumberFormat="1" applyFont="1" applyFill="1" applyBorder="1" applyAlignment="1">
      <alignment vertical="center"/>
    </xf>
    <xf numFmtId="0" fontId="19" fillId="0" borderId="6" xfId="0" applyFont="1" applyBorder="1"/>
    <xf numFmtId="0" fontId="17" fillId="0" borderId="6" xfId="0" applyFont="1" applyBorder="1"/>
    <xf numFmtId="9" fontId="17" fillId="7" borderId="0" xfId="1" applyFont="1" applyFill="1" applyBorder="1"/>
    <xf numFmtId="169" fontId="14" fillId="2" borderId="1" xfId="2" applyNumberFormat="1" applyFont="1" applyFill="1" applyBorder="1" applyAlignment="1">
      <alignment horizontal="center" vertical="center" wrapText="1"/>
    </xf>
    <xf numFmtId="0" fontId="20" fillId="0" borderId="1" xfId="0" applyFont="1" applyFill="1" applyBorder="1" applyAlignment="1">
      <alignment vertical="center" wrapText="1"/>
    </xf>
    <xf numFmtId="169" fontId="20" fillId="0" borderId="1" xfId="2" applyNumberFormat="1" applyFont="1" applyFill="1" applyBorder="1" applyAlignment="1">
      <alignment horizontal="right" vertical="center" wrapText="1"/>
    </xf>
    <xf numFmtId="0" fontId="0" fillId="0" borderId="1" xfId="0" applyFont="1" applyFill="1" applyBorder="1" applyAlignment="1">
      <alignment vertical="center" wrapText="1"/>
    </xf>
    <xf numFmtId="169" fontId="20" fillId="0" borderId="1" xfId="2" applyNumberFormat="1" applyFont="1" applyFill="1" applyBorder="1" applyAlignment="1">
      <alignment vertical="center" wrapText="1"/>
    </xf>
    <xf numFmtId="169" fontId="12" fillId="0" borderId="1" xfId="2" applyNumberFormat="1" applyFont="1" applyBorder="1" applyAlignment="1">
      <alignment horizontal="right" vertical="center" wrapText="1"/>
    </xf>
    <xf numFmtId="0" fontId="0" fillId="0" borderId="0" xfId="0" applyFont="1" applyAlignment="1">
      <alignment vertical="center"/>
    </xf>
    <xf numFmtId="0" fontId="15" fillId="6" borderId="1" xfId="0" applyFont="1" applyFill="1" applyBorder="1" applyAlignment="1">
      <alignment horizontal="center" vertical="center" wrapText="1"/>
    </xf>
    <xf numFmtId="0" fontId="0" fillId="6" borderId="1" xfId="0" applyFont="1" applyFill="1" applyBorder="1" applyAlignment="1">
      <alignment vertical="center"/>
    </xf>
    <xf numFmtId="169" fontId="15" fillId="6" borderId="1" xfId="2" applyNumberFormat="1" applyFont="1" applyFill="1" applyBorder="1" applyAlignment="1">
      <alignment horizontal="right" vertical="center" wrapText="1"/>
    </xf>
    <xf numFmtId="0" fontId="16" fillId="6" borderId="1" xfId="0" applyFont="1" applyFill="1" applyBorder="1" applyAlignment="1">
      <alignment vertical="center" wrapText="1"/>
    </xf>
    <xf numFmtId="169" fontId="16" fillId="6" borderId="1" xfId="2" applyNumberFormat="1" applyFont="1" applyFill="1" applyBorder="1" applyAlignment="1">
      <alignment horizontal="right" vertical="center" wrapText="1"/>
    </xf>
    <xf numFmtId="167" fontId="15" fillId="6" borderId="1" xfId="3" applyNumberFormat="1" applyFont="1" applyFill="1" applyBorder="1" applyAlignment="1">
      <alignment horizontal="righ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1" xfId="0" applyFont="1" applyFill="1" applyBorder="1" applyAlignment="1">
      <alignment vertical="center"/>
    </xf>
    <xf numFmtId="169" fontId="0" fillId="0" borderId="1" xfId="2" applyNumberFormat="1" applyFont="1" applyFill="1" applyBorder="1" applyAlignment="1">
      <alignment horizontal="center" vertical="center"/>
    </xf>
    <xf numFmtId="169" fontId="15" fillId="0" borderId="1" xfId="2" applyNumberFormat="1" applyFont="1" applyFill="1" applyBorder="1" applyAlignment="1">
      <alignment horizontal="right" vertical="center"/>
    </xf>
    <xf numFmtId="0" fontId="0" fillId="0" borderId="1" xfId="0" applyFont="1" applyFill="1" applyBorder="1" applyAlignment="1"/>
    <xf numFmtId="0" fontId="0" fillId="0" borderId="0" xfId="0" applyFont="1" applyAlignment="1"/>
    <xf numFmtId="9" fontId="0" fillId="0" borderId="1" xfId="0" applyNumberFormat="1" applyFont="1" applyFill="1" applyBorder="1" applyAlignment="1">
      <alignment vertical="center"/>
    </xf>
    <xf numFmtId="0" fontId="16" fillId="0" borderId="1" xfId="0" applyFont="1" applyFill="1" applyBorder="1" applyAlignment="1">
      <alignment horizontal="center" vertical="center"/>
    </xf>
    <xf numFmtId="0" fontId="12" fillId="0" borderId="1" xfId="0" applyFont="1" applyFill="1" applyBorder="1" applyAlignment="1">
      <alignment vertical="center"/>
    </xf>
    <xf numFmtId="9" fontId="12" fillId="0" borderId="1" xfId="0" applyNumberFormat="1" applyFont="1" applyFill="1" applyBorder="1" applyAlignment="1">
      <alignment vertical="center"/>
    </xf>
    <xf numFmtId="169" fontId="12" fillId="0" borderId="1" xfId="2" applyNumberFormat="1" applyFont="1" applyFill="1" applyBorder="1" applyAlignment="1">
      <alignment horizontal="center" vertical="center"/>
    </xf>
    <xf numFmtId="169" fontId="16" fillId="0" borderId="1" xfId="2" applyNumberFormat="1" applyFont="1" applyFill="1" applyBorder="1" applyAlignment="1">
      <alignment horizontal="right" vertical="center"/>
    </xf>
    <xf numFmtId="0" fontId="12" fillId="0" borderId="1" xfId="0" applyFont="1" applyFill="1" applyBorder="1" applyAlignment="1"/>
    <xf numFmtId="169" fontId="15" fillId="0" borderId="15" xfId="2" applyNumberFormat="1" applyFont="1" applyFill="1" applyBorder="1" applyAlignment="1">
      <alignment horizontal="right" vertical="center" wrapText="1"/>
    </xf>
    <xf numFmtId="0" fontId="0" fillId="0" borderId="10" xfId="0" applyFont="1" applyFill="1" applyBorder="1" applyAlignment="1">
      <alignment vertical="center"/>
    </xf>
    <xf numFmtId="169" fontId="15" fillId="0" borderId="1" xfId="2" applyNumberFormat="1" applyFont="1" applyFill="1" applyBorder="1" applyAlignment="1">
      <alignment horizontal="center" vertical="center"/>
    </xf>
    <xf numFmtId="169" fontId="15" fillId="0" borderId="11" xfId="2" applyNumberFormat="1" applyFont="1" applyFill="1" applyBorder="1" applyAlignment="1">
      <alignment horizontal="right" vertical="center"/>
    </xf>
    <xf numFmtId="9" fontId="15" fillId="0" borderId="1" xfId="0" applyNumberFormat="1" applyFont="1" applyFill="1" applyBorder="1" applyAlignment="1">
      <alignment vertical="center" wrapText="1"/>
    </xf>
    <xf numFmtId="169" fontId="15" fillId="0" borderId="9" xfId="2" applyNumberFormat="1" applyFont="1" applyFill="1" applyBorder="1" applyAlignment="1">
      <alignment horizontal="right" vertical="center" wrapText="1"/>
    </xf>
    <xf numFmtId="167" fontId="16" fillId="0" borderId="1" xfId="3" applyNumberFormat="1" applyFont="1" applyFill="1" applyBorder="1" applyAlignment="1">
      <alignment horizontal="right" vertical="center" wrapText="1"/>
    </xf>
    <xf numFmtId="0" fontId="17" fillId="0" borderId="15"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vertical="center" wrapText="1"/>
    </xf>
    <xf numFmtId="169" fontId="20" fillId="0" borderId="15" xfId="2" applyNumberFormat="1" applyFont="1" applyFill="1" applyBorder="1" applyAlignment="1">
      <alignment horizontal="left" vertical="center" wrapText="1"/>
    </xf>
    <xf numFmtId="167" fontId="20" fillId="0" borderId="1" xfId="3" applyNumberFormat="1" applyFont="1" applyFill="1" applyBorder="1" applyAlignment="1">
      <alignment horizontal="left" vertical="center" wrapText="1"/>
    </xf>
    <xf numFmtId="0" fontId="20" fillId="0" borderId="1" xfId="0" applyFont="1" applyFill="1" applyBorder="1" applyAlignment="1">
      <alignment horizontal="left" vertical="center"/>
    </xf>
    <xf numFmtId="0" fontId="20" fillId="0" borderId="1" xfId="0" applyFont="1" applyFill="1" applyBorder="1" applyAlignment="1">
      <alignment vertical="center"/>
    </xf>
    <xf numFmtId="169" fontId="20" fillId="0" borderId="1" xfId="2" applyNumberFormat="1" applyFont="1" applyFill="1" applyBorder="1" applyAlignment="1">
      <alignment horizontal="left" vertical="center"/>
    </xf>
    <xf numFmtId="167" fontId="20" fillId="0" borderId="1" xfId="3" applyNumberFormat="1" applyFont="1" applyFill="1" applyBorder="1" applyAlignment="1">
      <alignment horizontal="left" vertical="center"/>
    </xf>
    <xf numFmtId="0" fontId="20" fillId="0" borderId="9" xfId="0" applyFont="1" applyFill="1" applyBorder="1" applyAlignment="1">
      <alignment horizontal="left" vertical="center" wrapText="1"/>
    </xf>
    <xf numFmtId="9" fontId="20" fillId="0" borderId="9" xfId="0" applyNumberFormat="1" applyFont="1" applyFill="1" applyBorder="1" applyAlignment="1">
      <alignment vertical="center" wrapText="1"/>
    </xf>
    <xf numFmtId="169" fontId="20" fillId="0" borderId="9" xfId="2"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169" fontId="20" fillId="0" borderId="1" xfId="2" applyNumberFormat="1" applyFont="1" applyFill="1" applyBorder="1" applyAlignment="1">
      <alignment horizontal="left" vertical="center" wrapText="1"/>
    </xf>
    <xf numFmtId="169" fontId="17" fillId="0" borderId="1" xfId="2" applyNumberFormat="1" applyFont="1" applyFill="1" applyBorder="1" applyAlignment="1">
      <alignment horizontal="left" vertical="center" wrapText="1"/>
    </xf>
    <xf numFmtId="167" fontId="17" fillId="0" borderId="1" xfId="3" applyNumberFormat="1" applyFont="1" applyFill="1" applyBorder="1" applyAlignment="1">
      <alignment horizontal="left" vertical="center" wrapText="1"/>
    </xf>
    <xf numFmtId="0" fontId="17" fillId="0" borderId="1" xfId="0" applyFont="1" applyFill="1" applyBorder="1" applyAlignment="1">
      <alignment horizontal="left" vertical="center"/>
    </xf>
    <xf numFmtId="43" fontId="0" fillId="0" borderId="0" xfId="0" applyNumberFormat="1" applyFont="1" applyAlignment="1"/>
    <xf numFmtId="169" fontId="17" fillId="0" borderId="1" xfId="2" applyNumberFormat="1" applyFont="1" applyFill="1" applyBorder="1" applyAlignment="1">
      <alignment horizontal="left" vertical="center"/>
    </xf>
    <xf numFmtId="169" fontId="20" fillId="0" borderId="1" xfId="2" applyNumberFormat="1" applyFont="1" applyFill="1" applyBorder="1" applyAlignment="1">
      <alignment horizontal="left"/>
    </xf>
    <xf numFmtId="169" fontId="17" fillId="0" borderId="1" xfId="2" applyNumberFormat="1" applyFont="1" applyFill="1" applyBorder="1" applyAlignment="1">
      <alignment horizontal="left"/>
    </xf>
    <xf numFmtId="0" fontId="20" fillId="0" borderId="1" xfId="0" applyFont="1" applyFill="1" applyBorder="1" applyAlignment="1">
      <alignment horizontal="left"/>
    </xf>
    <xf numFmtId="0" fontId="15" fillId="0" borderId="1" xfId="0" applyFont="1" applyFill="1" applyBorder="1" applyAlignment="1">
      <alignment vertical="center"/>
    </xf>
    <xf numFmtId="167" fontId="15" fillId="0" borderId="1" xfId="3" applyNumberFormat="1" applyFont="1" applyFill="1" applyBorder="1" applyAlignment="1">
      <alignment horizontal="right" vertical="center"/>
    </xf>
    <xf numFmtId="166" fontId="0" fillId="0" borderId="0" xfId="3" applyFont="1"/>
    <xf numFmtId="167" fontId="15" fillId="0" borderId="1" xfId="3" applyNumberFormat="1" applyFont="1" applyFill="1" applyBorder="1" applyAlignment="1">
      <alignment vertical="center" wrapText="1"/>
    </xf>
    <xf numFmtId="169" fontId="16" fillId="0" borderId="1" xfId="2" applyNumberFormat="1" applyFont="1" applyBorder="1" applyAlignment="1">
      <alignment horizontal="right" vertical="center" wrapText="1"/>
    </xf>
    <xf numFmtId="0" fontId="15" fillId="6" borderId="1" xfId="0" applyFont="1" applyFill="1" applyBorder="1" applyAlignment="1">
      <alignment vertical="center" wrapText="1"/>
    </xf>
    <xf numFmtId="167" fontId="15" fillId="6" borderId="1" xfId="3" applyNumberFormat="1" applyFont="1" applyFill="1" applyBorder="1" applyAlignment="1">
      <alignment vertical="center" wrapText="1"/>
    </xf>
    <xf numFmtId="0" fontId="15" fillId="0" borderId="1" xfId="0" applyFont="1" applyFill="1" applyBorder="1" applyAlignment="1">
      <alignment horizontal="right" vertical="center" wrapText="1"/>
    </xf>
    <xf numFmtId="0" fontId="0" fillId="0" borderId="0" xfId="0" applyFont="1" applyAlignment="1">
      <alignment vertical="center" wrapText="1"/>
    </xf>
    <xf numFmtId="0" fontId="0" fillId="6" borderId="11" xfId="0" applyFont="1" applyFill="1" applyBorder="1" applyAlignment="1">
      <alignment vertical="center" wrapText="1"/>
    </xf>
    <xf numFmtId="0" fontId="0" fillId="7" borderId="11" xfId="0" applyFont="1" applyFill="1" applyBorder="1" applyAlignment="1">
      <alignment vertical="center" wrapText="1"/>
    </xf>
    <xf numFmtId="0" fontId="0" fillId="0" borderId="0" xfId="0" applyFont="1" applyFill="1" applyAlignment="1">
      <alignment vertical="center" wrapText="1"/>
    </xf>
    <xf numFmtId="0" fontId="12" fillId="0" borderId="1" xfId="0" applyFont="1" applyBorder="1" applyAlignment="1">
      <alignment vertical="center" wrapText="1"/>
    </xf>
    <xf numFmtId="0" fontId="12" fillId="11" borderId="1" xfId="0" applyFont="1" applyFill="1" applyBorder="1" applyAlignment="1">
      <alignment vertical="center" wrapText="1"/>
    </xf>
    <xf numFmtId="0" fontId="40" fillId="0" borderId="1" xfId="0" applyFont="1" applyBorder="1" applyAlignment="1">
      <alignment vertical="center" wrapText="1"/>
    </xf>
    <xf numFmtId="0" fontId="0" fillId="0" borderId="1" xfId="0" applyFont="1" applyBorder="1" applyAlignment="1">
      <alignment vertical="center" wrapText="1"/>
    </xf>
    <xf numFmtId="0" fontId="0" fillId="0" borderId="2" xfId="0" applyFont="1" applyFill="1" applyBorder="1" applyAlignment="1">
      <alignment vertical="center" wrapText="1"/>
    </xf>
    <xf numFmtId="0" fontId="12" fillId="11" borderId="2" xfId="0" applyFont="1" applyFill="1" applyBorder="1" applyAlignment="1">
      <alignment vertical="center" wrapText="1"/>
    </xf>
    <xf numFmtId="0" fontId="0" fillId="0" borderId="1" xfId="0" applyFont="1" applyBorder="1" applyAlignment="1">
      <alignment horizontal="center" vertical="center" wrapText="1"/>
    </xf>
    <xf numFmtId="0" fontId="0" fillId="0" borderId="0" xfId="0" applyAlignment="1">
      <alignment horizontal="center" vertical="center" wrapText="1"/>
    </xf>
    <xf numFmtId="1" fontId="0" fillId="0" borderId="0" xfId="0" applyNumberFormat="1"/>
    <xf numFmtId="0" fontId="12" fillId="0" borderId="0" xfId="0" applyFont="1" applyAlignment="1">
      <alignment horizontal="left" vertical="center" wrapText="1"/>
    </xf>
    <xf numFmtId="0" fontId="12" fillId="0" borderId="8" xfId="0" applyFont="1" applyBorder="1" applyAlignment="1">
      <alignment horizontal="center" vertical="center" wrapText="1"/>
    </xf>
    <xf numFmtId="0" fontId="38" fillId="8" borderId="1"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0"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5" xfId="0" applyFont="1" applyBorder="1" applyAlignment="1">
      <alignment horizontal="left" vertical="center" wrapText="1"/>
    </xf>
    <xf numFmtId="0" fontId="0" fillId="0" borderId="2"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6" xfId="0" applyFont="1" applyBorder="1" applyAlignment="1">
      <alignment horizontal="left" vertical="center" wrapText="1"/>
    </xf>
    <xf numFmtId="0" fontId="0" fillId="0" borderId="11" xfId="0" applyFont="1" applyBorder="1" applyAlignment="1">
      <alignment horizontal="left" vertical="center" wrapText="1"/>
    </xf>
    <xf numFmtId="0" fontId="12" fillId="9" borderId="1"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xf>
    <xf numFmtId="0" fontId="16" fillId="0" borderId="1" xfId="0" applyFont="1" applyBorder="1" applyAlignment="1">
      <alignment horizontal="center" vertical="center" wrapText="1"/>
    </xf>
    <xf numFmtId="0" fontId="12" fillId="0" borderId="0" xfId="0" applyFont="1" applyAlignment="1">
      <alignment horizontal="center"/>
    </xf>
    <xf numFmtId="0" fontId="17" fillId="0" borderId="0" xfId="0" applyFont="1" applyAlignment="1">
      <alignment horizontal="center" wrapText="1"/>
    </xf>
    <xf numFmtId="0" fontId="16" fillId="0" borderId="1" xfId="0" applyFont="1" applyFill="1" applyBorder="1" applyAlignment="1">
      <alignment horizontal="center" vertical="center" wrapText="1"/>
    </xf>
    <xf numFmtId="0" fontId="22" fillId="0" borderId="0" xfId="0" applyFont="1" applyAlignment="1">
      <alignment horizontal="center" wrapText="1"/>
    </xf>
    <xf numFmtId="0" fontId="12" fillId="7" borderId="0" xfId="0" applyFont="1" applyFill="1" applyAlignment="1">
      <alignment horizontal="center"/>
    </xf>
    <xf numFmtId="0" fontId="12"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17" fillId="0" borderId="0" xfId="6" applyFont="1" applyFill="1" applyBorder="1" applyAlignment="1">
      <alignment horizontal="center"/>
    </xf>
    <xf numFmtId="0" fontId="17" fillId="0" borderId="0" xfId="0" applyFont="1" applyAlignment="1">
      <alignment horizontal="center" vertical="center" wrapText="1"/>
    </xf>
    <xf numFmtId="0" fontId="12" fillId="0" borderId="8" xfId="0" applyFont="1" applyBorder="1" applyAlignment="1">
      <alignment horizontal="center"/>
    </xf>
    <xf numFmtId="0" fontId="12" fillId="0" borderId="14" xfId="0" applyFont="1" applyBorder="1" applyAlignment="1">
      <alignment horizontal="center"/>
    </xf>
    <xf numFmtId="0" fontId="12" fillId="0" borderId="0" xfId="0" applyFont="1" applyAlignment="1">
      <alignment horizontal="center" wrapText="1"/>
    </xf>
    <xf numFmtId="0" fontId="17" fillId="6" borderId="8" xfId="0" applyFont="1" applyFill="1" applyBorder="1" applyAlignment="1">
      <alignment horizontal="center"/>
    </xf>
    <xf numFmtId="0" fontId="17" fillId="6" borderId="0" xfId="0" applyFont="1" applyFill="1" applyAlignment="1">
      <alignment horizontal="center"/>
    </xf>
    <xf numFmtId="0" fontId="20" fillId="0" borderId="0" xfId="0" applyFont="1" applyAlignment="1">
      <alignment horizontal="center" wrapText="1"/>
    </xf>
    <xf numFmtId="0" fontId="14" fillId="2"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33" fillId="0" borderId="0" xfId="0" applyFont="1" applyAlignment="1">
      <alignment horizontal="center" wrapText="1"/>
    </xf>
    <xf numFmtId="0" fontId="12" fillId="0" borderId="12" xfId="0" applyFont="1" applyBorder="1" applyAlignment="1">
      <alignment horizontal="center"/>
    </xf>
    <xf numFmtId="0" fontId="31" fillId="0" borderId="0" xfId="0" applyFont="1" applyAlignment="1">
      <alignment horizontal="center" wrapText="1"/>
    </xf>
    <xf numFmtId="0" fontId="32" fillId="0" borderId="0" xfId="0" applyFont="1" applyAlignment="1">
      <alignment horizontal="center" wrapText="1"/>
    </xf>
    <xf numFmtId="0" fontId="18" fillId="0" borderId="1" xfId="0" applyFont="1" applyFill="1" applyBorder="1" applyAlignment="1">
      <alignment horizontal="center" wrapText="1"/>
    </xf>
    <xf numFmtId="0" fontId="16" fillId="0" borderId="0" xfId="0" applyFont="1" applyAlignment="1">
      <alignment horizontal="center" wrapText="1"/>
    </xf>
    <xf numFmtId="0" fontId="23" fillId="0" borderId="0" xfId="0" applyFont="1" applyAlignment="1">
      <alignment horizontal="center" wrapText="1"/>
    </xf>
    <xf numFmtId="0" fontId="18" fillId="0" borderId="7" xfId="0" applyFont="1" applyFill="1" applyBorder="1" applyAlignment="1">
      <alignment horizontal="center"/>
    </xf>
    <xf numFmtId="0" fontId="18" fillId="0" borderId="8" xfId="0" applyFont="1" applyFill="1" applyBorder="1" applyAlignment="1">
      <alignment horizontal="center"/>
    </xf>
    <xf numFmtId="3" fontId="19" fillId="0" borderId="1" xfId="0" applyNumberFormat="1" applyFont="1" applyBorder="1" applyAlignment="1">
      <alignment horizontal="center"/>
    </xf>
    <xf numFmtId="3" fontId="19" fillId="0" borderId="0" xfId="0" applyNumberFormat="1" applyFont="1" applyBorder="1" applyAlignment="1">
      <alignment horizontal="center"/>
    </xf>
    <xf numFmtId="0" fontId="22" fillId="0" borderId="0" xfId="0" applyFont="1" applyAlignment="1">
      <alignment horizontal="center"/>
    </xf>
    <xf numFmtId="2" fontId="0" fillId="0" borderId="1" xfId="2" applyNumberFormat="1" applyFont="1" applyBorder="1" applyAlignment="1">
      <alignment horizontal="center"/>
    </xf>
    <xf numFmtId="10" fontId="12" fillId="0" borderId="1" xfId="1" applyNumberFormat="1" applyFont="1" applyBorder="1" applyAlignment="1">
      <alignment horizontal="center"/>
    </xf>
    <xf numFmtId="0" fontId="18" fillId="0" borderId="0" xfId="0" applyFont="1" applyAlignment="1">
      <alignment horizontal="center"/>
    </xf>
    <xf numFmtId="0" fontId="17" fillId="0" borderId="0" xfId="8" applyFont="1" applyAlignment="1" applyProtection="1">
      <alignment horizontal="center" wrapText="1"/>
    </xf>
    <xf numFmtId="0" fontId="21" fillId="0" borderId="0" xfId="0" applyFont="1" applyAlignment="1">
      <alignment horizontal="center" wrapText="1"/>
    </xf>
    <xf numFmtId="0" fontId="13" fillId="5" borderId="15" xfId="0" applyFont="1" applyFill="1" applyBorder="1" applyAlignment="1">
      <alignment horizontal="left" vertical="center"/>
    </xf>
    <xf numFmtId="0" fontId="13" fillId="5" borderId="9" xfId="0" applyFont="1" applyFill="1" applyBorder="1" applyAlignment="1">
      <alignment horizontal="left" vertical="center"/>
    </xf>
    <xf numFmtId="0" fontId="0" fillId="0" borderId="0" xfId="0" applyFont="1" applyAlignment="1">
      <alignment horizontal="center"/>
    </xf>
    <xf numFmtId="0" fontId="0" fillId="0" borderId="15" xfId="0" applyFont="1" applyBorder="1" applyAlignment="1">
      <alignment horizontal="center"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0" fontId="12" fillId="0" borderId="10" xfId="0" applyFont="1" applyBorder="1" applyAlignment="1">
      <alignment horizontal="center"/>
    </xf>
    <xf numFmtId="0" fontId="12" fillId="0" borderId="16" xfId="0" applyFont="1" applyBorder="1" applyAlignment="1">
      <alignment horizontal="center"/>
    </xf>
    <xf numFmtId="0" fontId="12" fillId="0" borderId="11" xfId="0" applyFont="1" applyBorder="1" applyAlignment="1">
      <alignment horizontal="center"/>
    </xf>
    <xf numFmtId="0" fontId="10" fillId="5" borderId="15" xfId="0" applyFont="1" applyFill="1" applyBorder="1" applyAlignment="1">
      <alignment vertical="center"/>
    </xf>
    <xf numFmtId="0" fontId="10" fillId="5" borderId="9" xfId="0" applyFont="1" applyFill="1" applyBorder="1" applyAlignment="1">
      <alignment vertic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17" fillId="0" borderId="11" xfId="0" applyFont="1" applyFill="1" applyBorder="1" applyAlignment="1">
      <alignment horizontal="center"/>
    </xf>
    <xf numFmtId="0" fontId="10" fillId="5" borderId="15" xfId="0" applyFont="1" applyFill="1" applyBorder="1" applyAlignment="1">
      <alignment horizontal="left" vertical="center"/>
    </xf>
    <xf numFmtId="0" fontId="10" fillId="5" borderId="9" xfId="0" applyFont="1" applyFill="1" applyBorder="1" applyAlignment="1">
      <alignment horizontal="left" vertical="center"/>
    </xf>
    <xf numFmtId="0" fontId="5" fillId="0" borderId="10" xfId="0" applyFont="1" applyFill="1" applyBorder="1" applyAlignment="1">
      <alignment horizontal="center"/>
    </xf>
    <xf numFmtId="0" fontId="5" fillId="0" borderId="16" xfId="0" applyFont="1" applyFill="1" applyBorder="1" applyAlignment="1">
      <alignment horizontal="center"/>
    </xf>
    <xf numFmtId="0" fontId="5" fillId="0" borderId="11" xfId="0" applyFont="1" applyFill="1" applyBorder="1" applyAlignment="1">
      <alignment horizontal="center"/>
    </xf>
    <xf numFmtId="0" fontId="9" fillId="5" borderId="15" xfId="0" applyFont="1" applyFill="1" applyBorder="1" applyAlignment="1">
      <alignment horizontal="left" vertical="center"/>
    </xf>
    <xf numFmtId="0" fontId="9" fillId="5" borderId="9" xfId="0" applyFont="1" applyFill="1" applyBorder="1" applyAlignment="1">
      <alignment horizontal="left" vertical="center"/>
    </xf>
    <xf numFmtId="0" fontId="7" fillId="0" borderId="8" xfId="0" applyFont="1" applyBorder="1" applyAlignment="1">
      <alignment horizontal="center"/>
    </xf>
    <xf numFmtId="0" fontId="7" fillId="0" borderId="0" xfId="0" applyFont="1" applyAlignment="1">
      <alignment horizont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lignment horizontal="center"/>
    </xf>
    <xf numFmtId="0" fontId="7" fillId="0" borderId="10" xfId="0" applyFont="1" applyBorder="1" applyAlignment="1">
      <alignment horizontal="center"/>
    </xf>
    <xf numFmtId="0" fontId="7" fillId="0" borderId="16" xfId="0" applyFont="1" applyBorder="1" applyAlignment="1">
      <alignment horizontal="center"/>
    </xf>
    <xf numFmtId="0" fontId="7" fillId="0" borderId="11" xfId="0" applyFont="1" applyBorder="1" applyAlignment="1">
      <alignment horizontal="center"/>
    </xf>
    <xf numFmtId="0" fontId="8" fillId="5" borderId="15" xfId="0" applyFont="1" applyFill="1" applyBorder="1" applyAlignment="1">
      <alignment vertical="center"/>
    </xf>
    <xf numFmtId="0" fontId="8" fillId="5" borderId="9" xfId="0" applyFont="1" applyFill="1" applyBorder="1" applyAlignment="1">
      <alignment vertical="center"/>
    </xf>
    <xf numFmtId="0" fontId="8" fillId="5" borderId="15" xfId="0" applyFont="1" applyFill="1" applyBorder="1" applyAlignment="1">
      <alignment horizontal="left" vertical="center"/>
    </xf>
    <xf numFmtId="0" fontId="8" fillId="5" borderId="9" xfId="0" applyFont="1" applyFill="1" applyBorder="1" applyAlignment="1">
      <alignment horizontal="left" vertical="center"/>
    </xf>
    <xf numFmtId="0" fontId="12" fillId="0" borderId="0" xfId="0" applyFont="1" applyFill="1" applyBorder="1" applyAlignment="1">
      <alignment horizontal="center"/>
    </xf>
    <xf numFmtId="0" fontId="0" fillId="0" borderId="0" xfId="0" applyAlignment="1">
      <alignment horizontal="center" vertic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XFD1048576"/>
    </sheetView>
  </sheetViews>
  <sheetFormatPr defaultColWidth="9.140625" defaultRowHeight="15" x14ac:dyDescent="0.25"/>
  <cols>
    <col min="1" max="1" width="12.85546875" style="394" customWidth="1"/>
    <col min="2" max="2" width="56" style="394" customWidth="1"/>
    <col min="3" max="3" width="26.28515625" style="394" customWidth="1"/>
    <col min="4" max="4" width="20.7109375" style="394" customWidth="1"/>
    <col min="5" max="5" width="29.42578125" style="394" customWidth="1"/>
    <col min="6" max="16384" width="9.140625" style="394"/>
  </cols>
  <sheetData>
    <row r="1" spans="1:5" ht="26.25" customHeight="1" x14ac:dyDescent="0.35">
      <c r="A1" s="408" t="s">
        <v>600</v>
      </c>
      <c r="B1" s="408"/>
      <c r="C1" s="408"/>
      <c r="D1" s="408"/>
      <c r="E1" s="408"/>
    </row>
    <row r="2" spans="1:5" ht="26.25" customHeight="1" x14ac:dyDescent="0.35">
      <c r="A2" s="409" t="s">
        <v>596</v>
      </c>
      <c r="B2" s="409"/>
      <c r="C2" s="409"/>
      <c r="D2" s="409"/>
      <c r="E2" s="409"/>
    </row>
    <row r="3" spans="1:5" ht="23.25" customHeight="1" x14ac:dyDescent="0.35">
      <c r="A3" s="410" t="s">
        <v>567</v>
      </c>
      <c r="B3" s="410"/>
      <c r="C3" s="410"/>
      <c r="D3" s="410"/>
      <c r="E3" s="410"/>
    </row>
    <row r="4" spans="1:5" ht="240.75" customHeight="1" x14ac:dyDescent="0.35">
      <c r="A4" s="411" t="s">
        <v>744</v>
      </c>
      <c r="B4" s="411"/>
      <c r="C4" s="411"/>
      <c r="D4" s="411"/>
      <c r="E4" s="411"/>
    </row>
    <row r="5" spans="1:5" ht="23.25" customHeight="1" x14ac:dyDescent="0.35">
      <c r="A5" s="410" t="s">
        <v>568</v>
      </c>
      <c r="B5" s="410"/>
      <c r="C5" s="410"/>
      <c r="D5" s="410"/>
      <c r="E5" s="410"/>
    </row>
    <row r="6" spans="1:5" ht="108" customHeight="1" x14ac:dyDescent="0.35">
      <c r="A6" s="418" t="s">
        <v>745</v>
      </c>
      <c r="B6" s="419"/>
      <c r="C6" s="419"/>
      <c r="D6" s="419"/>
      <c r="E6" s="420"/>
    </row>
    <row r="7" spans="1:5" ht="23.25" customHeight="1" x14ac:dyDescent="0.25">
      <c r="A7" s="421" t="s">
        <v>601</v>
      </c>
      <c r="B7" s="421"/>
      <c r="C7" s="421"/>
      <c r="D7" s="421"/>
      <c r="E7" s="421"/>
    </row>
    <row r="8" spans="1:5" ht="125.25" customHeight="1" x14ac:dyDescent="0.25">
      <c r="A8" s="411" t="s">
        <v>637</v>
      </c>
      <c r="B8" s="411"/>
      <c r="C8" s="411"/>
      <c r="D8" s="411"/>
      <c r="E8" s="411"/>
    </row>
    <row r="9" spans="1:5" x14ac:dyDescent="0.25">
      <c r="A9" s="410" t="s">
        <v>593</v>
      </c>
      <c r="B9" s="410"/>
      <c r="C9" s="410"/>
      <c r="D9" s="410"/>
      <c r="E9" s="410"/>
    </row>
    <row r="10" spans="1:5" x14ac:dyDescent="0.25">
      <c r="A10" s="394" t="s">
        <v>569</v>
      </c>
      <c r="B10" s="394" t="s">
        <v>148</v>
      </c>
    </row>
    <row r="11" spans="1:5" ht="20.25" customHeight="1" x14ac:dyDescent="0.25">
      <c r="A11" s="395"/>
      <c r="B11" s="422" t="s">
        <v>381</v>
      </c>
      <c r="C11" s="423"/>
      <c r="D11" s="423"/>
      <c r="E11" s="424"/>
    </row>
    <row r="12" spans="1:5" x14ac:dyDescent="0.25">
      <c r="A12" s="396"/>
      <c r="B12" s="412" t="s">
        <v>382</v>
      </c>
      <c r="C12" s="412"/>
      <c r="D12" s="412"/>
      <c r="E12" s="412"/>
    </row>
    <row r="13" spans="1:5" s="397" customFormat="1" x14ac:dyDescent="0.25">
      <c r="A13" s="413"/>
      <c r="B13" s="413"/>
      <c r="C13" s="413"/>
      <c r="D13" s="413"/>
      <c r="E13" s="414"/>
    </row>
    <row r="14" spans="1:5" x14ac:dyDescent="0.25">
      <c r="A14" s="410" t="s">
        <v>594</v>
      </c>
      <c r="B14" s="410"/>
      <c r="C14" s="410"/>
      <c r="D14" s="410"/>
      <c r="E14" s="410"/>
    </row>
    <row r="15" spans="1:5" x14ac:dyDescent="0.25">
      <c r="A15" s="398" t="s">
        <v>565</v>
      </c>
      <c r="B15" s="398" t="s">
        <v>602</v>
      </c>
      <c r="C15" s="398" t="s">
        <v>427</v>
      </c>
      <c r="D15" s="398" t="s">
        <v>573</v>
      </c>
      <c r="E15" s="398" t="s">
        <v>566</v>
      </c>
    </row>
    <row r="16" spans="1:5" x14ac:dyDescent="0.25">
      <c r="A16" s="399" t="s">
        <v>169</v>
      </c>
      <c r="B16" s="399" t="s">
        <v>603</v>
      </c>
      <c r="C16" s="399"/>
      <c r="D16" s="399"/>
      <c r="E16" s="399"/>
    </row>
    <row r="17" spans="1:5" ht="60" x14ac:dyDescent="0.25">
      <c r="A17" s="400" t="s">
        <v>583</v>
      </c>
      <c r="B17" s="401" t="s">
        <v>590</v>
      </c>
      <c r="C17" s="401" t="s">
        <v>634</v>
      </c>
      <c r="D17" s="401" t="s">
        <v>604</v>
      </c>
      <c r="E17" s="401"/>
    </row>
    <row r="18" spans="1:5" ht="90" x14ac:dyDescent="0.25">
      <c r="A18" s="400" t="s">
        <v>584</v>
      </c>
      <c r="B18" s="401" t="s">
        <v>570</v>
      </c>
      <c r="C18" s="401" t="s">
        <v>635</v>
      </c>
      <c r="D18" s="401" t="s">
        <v>605</v>
      </c>
      <c r="E18" s="401"/>
    </row>
    <row r="19" spans="1:5" ht="26.25" customHeight="1" x14ac:dyDescent="0.25">
      <c r="A19" s="400" t="s">
        <v>585</v>
      </c>
      <c r="B19" s="402" t="s">
        <v>597</v>
      </c>
      <c r="C19" s="401" t="s">
        <v>606</v>
      </c>
      <c r="D19" s="401" t="s">
        <v>607</v>
      </c>
      <c r="E19" s="401" t="s">
        <v>595</v>
      </c>
    </row>
    <row r="20" spans="1:5" ht="30" x14ac:dyDescent="0.25">
      <c r="A20" s="400" t="s">
        <v>586</v>
      </c>
      <c r="B20" s="401" t="s">
        <v>636</v>
      </c>
      <c r="C20" s="401"/>
      <c r="D20" s="401"/>
      <c r="E20" s="401"/>
    </row>
    <row r="21" spans="1:5" x14ac:dyDescent="0.25">
      <c r="A21" s="401">
        <v>4.0999999999999996</v>
      </c>
      <c r="B21" s="401" t="s">
        <v>577</v>
      </c>
      <c r="C21" s="415" t="s">
        <v>608</v>
      </c>
      <c r="D21" s="401" t="s">
        <v>609</v>
      </c>
      <c r="E21" s="401"/>
    </row>
    <row r="22" spans="1:5" ht="30" x14ac:dyDescent="0.25">
      <c r="A22" s="401">
        <v>4.2</v>
      </c>
      <c r="B22" s="401" t="s">
        <v>581</v>
      </c>
      <c r="C22" s="416"/>
      <c r="D22" s="401" t="s">
        <v>610</v>
      </c>
      <c r="E22" s="401"/>
    </row>
    <row r="23" spans="1:5" x14ac:dyDescent="0.25">
      <c r="A23" s="401">
        <v>4.3</v>
      </c>
      <c r="B23" s="401" t="s">
        <v>578</v>
      </c>
      <c r="C23" s="416"/>
      <c r="D23" s="401" t="s">
        <v>611</v>
      </c>
      <c r="E23" s="401"/>
    </row>
    <row r="24" spans="1:5" x14ac:dyDescent="0.25">
      <c r="A24" s="401">
        <v>4.4000000000000004</v>
      </c>
      <c r="B24" s="401" t="s">
        <v>579</v>
      </c>
      <c r="C24" s="416"/>
      <c r="D24" s="401" t="s">
        <v>612</v>
      </c>
      <c r="E24" s="401"/>
    </row>
    <row r="25" spans="1:5" x14ac:dyDescent="0.25">
      <c r="A25" s="401">
        <v>4.5</v>
      </c>
      <c r="B25" s="401" t="s">
        <v>580</v>
      </c>
      <c r="C25" s="416"/>
      <c r="D25" s="401" t="s">
        <v>613</v>
      </c>
      <c r="E25" s="401"/>
    </row>
    <row r="26" spans="1:5" x14ac:dyDescent="0.25">
      <c r="A26" s="401">
        <v>4.5999999999999996</v>
      </c>
      <c r="B26" s="401" t="s">
        <v>582</v>
      </c>
      <c r="C26" s="417"/>
      <c r="D26" s="401" t="s">
        <v>614</v>
      </c>
      <c r="E26" s="401"/>
    </row>
    <row r="27" spans="1:5" ht="45" x14ac:dyDescent="0.25">
      <c r="A27" s="400" t="s">
        <v>587</v>
      </c>
      <c r="B27" s="401" t="s">
        <v>571</v>
      </c>
      <c r="C27" s="401" t="s">
        <v>615</v>
      </c>
      <c r="D27" s="401" t="s">
        <v>639</v>
      </c>
      <c r="E27" s="401"/>
    </row>
    <row r="28" spans="1:5" ht="60" x14ac:dyDescent="0.25">
      <c r="A28" s="400" t="s">
        <v>588</v>
      </c>
      <c r="B28" s="401" t="s">
        <v>616</v>
      </c>
      <c r="C28" s="401" t="s">
        <v>617</v>
      </c>
      <c r="D28" s="401" t="s">
        <v>618</v>
      </c>
      <c r="E28" s="401"/>
    </row>
    <row r="29" spans="1:5" ht="45" x14ac:dyDescent="0.25">
      <c r="A29" s="400" t="s">
        <v>589</v>
      </c>
      <c r="B29" s="401" t="s">
        <v>572</v>
      </c>
      <c r="C29" s="401" t="s">
        <v>619</v>
      </c>
      <c r="D29" s="401" t="s">
        <v>620</v>
      </c>
      <c r="E29" s="401"/>
    </row>
    <row r="30" spans="1:5" x14ac:dyDescent="0.25">
      <c r="A30" s="399" t="s">
        <v>170</v>
      </c>
      <c r="B30" s="403" t="s">
        <v>621</v>
      </c>
      <c r="C30" s="399"/>
      <c r="D30" s="399"/>
      <c r="E30" s="399"/>
    </row>
    <row r="31" spans="1:5" ht="26.25" customHeight="1" x14ac:dyDescent="0.25">
      <c r="A31" s="404" t="s">
        <v>622</v>
      </c>
      <c r="B31" s="401" t="s">
        <v>574</v>
      </c>
      <c r="C31" s="401"/>
      <c r="D31" s="401" t="s">
        <v>623</v>
      </c>
      <c r="E31" s="401" t="s">
        <v>595</v>
      </c>
    </row>
    <row r="32" spans="1:5" x14ac:dyDescent="0.25">
      <c r="A32" s="404" t="s">
        <v>624</v>
      </c>
      <c r="B32" s="401" t="s">
        <v>575</v>
      </c>
      <c r="C32" s="401"/>
      <c r="D32" s="401" t="s">
        <v>625</v>
      </c>
      <c r="E32" s="401" t="s">
        <v>595</v>
      </c>
    </row>
    <row r="33" spans="1:5" x14ac:dyDescent="0.25">
      <c r="A33" s="404" t="s">
        <v>626</v>
      </c>
      <c r="B33" s="401" t="s">
        <v>576</v>
      </c>
      <c r="C33" s="401"/>
      <c r="D33" s="401" t="s">
        <v>627</v>
      </c>
      <c r="E33" s="401" t="s">
        <v>595</v>
      </c>
    </row>
    <row r="34" spans="1:5" ht="35.25" customHeight="1" x14ac:dyDescent="0.25">
      <c r="A34" s="404" t="s">
        <v>628</v>
      </c>
      <c r="B34" s="401" t="s">
        <v>591</v>
      </c>
      <c r="C34" s="401"/>
      <c r="D34" s="401" t="s">
        <v>629</v>
      </c>
      <c r="E34" s="401" t="s">
        <v>595</v>
      </c>
    </row>
    <row r="35" spans="1:5" ht="35.25" customHeight="1" x14ac:dyDescent="0.25">
      <c r="A35" s="404" t="s">
        <v>630</v>
      </c>
      <c r="B35" s="401" t="s">
        <v>631</v>
      </c>
      <c r="C35" s="401"/>
      <c r="D35" s="401" t="s">
        <v>638</v>
      </c>
      <c r="E35" s="401" t="s">
        <v>595</v>
      </c>
    </row>
    <row r="36" spans="1:5" x14ac:dyDescent="0.25">
      <c r="A36" s="400" t="s">
        <v>632</v>
      </c>
      <c r="B36" s="401" t="s">
        <v>633</v>
      </c>
      <c r="C36" s="401"/>
      <c r="D36" s="401"/>
      <c r="E36" s="401"/>
    </row>
    <row r="37" spans="1:5" x14ac:dyDescent="0.25">
      <c r="A37" s="407"/>
      <c r="B37" s="407"/>
      <c r="C37" s="407"/>
      <c r="D37" s="407"/>
      <c r="E37" s="40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workbookViewId="0">
      <selection sqref="A1:XFD1048576"/>
    </sheetView>
  </sheetViews>
  <sheetFormatPr defaultColWidth="8.7109375" defaultRowHeight="15" x14ac:dyDescent="0.25"/>
  <cols>
    <col min="1" max="1" width="8.7109375" style="39"/>
    <col min="2" max="2" width="32.7109375" style="39" bestFit="1" customWidth="1"/>
    <col min="3" max="3" width="18" style="39" bestFit="1" customWidth="1"/>
    <col min="4" max="5" width="14.85546875" style="39" customWidth="1"/>
    <col min="6" max="6" width="16.5703125" style="39" customWidth="1"/>
    <col min="7" max="9" width="15.85546875" style="39" bestFit="1" customWidth="1"/>
    <col min="10" max="10" width="14.85546875" style="39" customWidth="1"/>
    <col min="11" max="11" width="14.42578125" style="39" customWidth="1"/>
    <col min="12" max="12" width="14.85546875" style="39" bestFit="1" customWidth="1"/>
    <col min="13" max="18" width="11.85546875" style="39" bestFit="1" customWidth="1"/>
    <col min="19" max="19" width="4.5703125" style="39" bestFit="1" customWidth="1"/>
    <col min="20" max="16384" width="8.7109375" style="39"/>
  </cols>
  <sheetData>
    <row r="5" spans="2:12" ht="14.45" x14ac:dyDescent="0.35">
      <c r="B5" s="463" t="s">
        <v>520</v>
      </c>
      <c r="C5" s="463"/>
      <c r="D5" s="463"/>
      <c r="E5" s="463"/>
      <c r="F5" s="463"/>
      <c r="G5" s="463"/>
      <c r="H5" s="463"/>
      <c r="I5" s="463"/>
      <c r="J5" s="463"/>
    </row>
    <row r="6" spans="2:12" ht="14.45" x14ac:dyDescent="0.35">
      <c r="B6" s="159"/>
      <c r="C6" s="159"/>
      <c r="D6" s="159"/>
      <c r="E6" s="159"/>
      <c r="F6" s="159"/>
      <c r="G6" s="159"/>
      <c r="H6" s="159"/>
      <c r="I6" s="159"/>
      <c r="J6" s="159"/>
    </row>
    <row r="7" spans="2:12" ht="14.45" x14ac:dyDescent="0.35">
      <c r="B7" s="160" t="s">
        <v>29</v>
      </c>
      <c r="C7" s="161" t="s">
        <v>319</v>
      </c>
      <c r="D7" s="161" t="s">
        <v>2</v>
      </c>
      <c r="E7" s="161" t="s">
        <v>3</v>
      </c>
      <c r="F7" s="161" t="s">
        <v>4</v>
      </c>
      <c r="G7" s="161" t="s">
        <v>5</v>
      </c>
      <c r="H7" s="161" t="s">
        <v>6</v>
      </c>
      <c r="I7" s="161" t="s">
        <v>166</v>
      </c>
      <c r="J7" s="161" t="s">
        <v>165</v>
      </c>
      <c r="L7" s="162"/>
    </row>
    <row r="8" spans="2:12" ht="14.45" x14ac:dyDescent="0.35">
      <c r="B8" s="163"/>
      <c r="C8" s="163"/>
      <c r="D8" s="163"/>
      <c r="E8" s="163"/>
      <c r="F8" s="163"/>
      <c r="G8" s="163"/>
      <c r="H8" s="163"/>
      <c r="I8" s="163"/>
      <c r="J8" s="163"/>
    </row>
    <row r="9" spans="2:12" ht="14.45" x14ac:dyDescent="0.35">
      <c r="B9" s="163" t="s">
        <v>30</v>
      </c>
      <c r="C9" s="163"/>
      <c r="D9" s="164">
        <f>'6.Cons Profit &amp; Loss'!B51</f>
        <v>1043563.8180927923</v>
      </c>
      <c r="E9" s="164">
        <f>'6.Cons Profit &amp; Loss'!C51</f>
        <v>3781363.5431574192</v>
      </c>
      <c r="F9" s="164">
        <f>'6.Cons Profit &amp; Loss'!D51</f>
        <v>4373775.8077598093</v>
      </c>
      <c r="G9" s="164">
        <f>'6.Cons Profit &amp; Loss'!E51</f>
        <v>6272337.4783843644</v>
      </c>
      <c r="H9" s="164">
        <f>'6.Cons Profit &amp; Loss'!F51</f>
        <v>8385073.5460765939</v>
      </c>
      <c r="I9" s="164">
        <f>'6.Cons Profit &amp; Loss'!G51</f>
        <v>10640906.611930503</v>
      </c>
      <c r="J9" s="164">
        <f>'6.Cons Profit &amp; Loss'!H51</f>
        <v>12115450.534083193</v>
      </c>
    </row>
    <row r="10" spans="2:12" ht="14.45" x14ac:dyDescent="0.35">
      <c r="B10" s="163"/>
      <c r="C10" s="163"/>
      <c r="D10" s="164"/>
      <c r="E10" s="164"/>
      <c r="F10" s="164"/>
      <c r="G10" s="164"/>
      <c r="H10" s="164"/>
      <c r="I10" s="164"/>
      <c r="J10" s="164"/>
    </row>
    <row r="11" spans="2:12" ht="14.45" x14ac:dyDescent="0.35">
      <c r="B11" s="165" t="s">
        <v>743</v>
      </c>
      <c r="C11" s="165"/>
      <c r="D11" s="164">
        <f>'6.Cons Profit &amp; Loss'!B42</f>
        <v>1819752.355</v>
      </c>
      <c r="E11" s="164">
        <f>'6.Cons Profit &amp; Loss'!C42</f>
        <v>1819752.355</v>
      </c>
      <c r="F11" s="164">
        <f>'6.Cons Profit &amp; Loss'!D42</f>
        <v>1819752.355</v>
      </c>
      <c r="G11" s="164">
        <f>'6.Cons Profit &amp; Loss'!E42</f>
        <v>1819752.355</v>
      </c>
      <c r="H11" s="164">
        <f>'6.Cons Profit &amp; Loss'!F42</f>
        <v>1819752.355</v>
      </c>
      <c r="I11" s="164">
        <f>'6.Cons Profit &amp; Loss'!G42</f>
        <v>1819752.355</v>
      </c>
      <c r="J11" s="164">
        <f>'6.Cons Profit &amp; Loss'!H42</f>
        <v>1819752.355</v>
      </c>
    </row>
    <row r="12" spans="2:12" ht="14.45" x14ac:dyDescent="0.35">
      <c r="B12" s="163" t="s">
        <v>35</v>
      </c>
      <c r="C12" s="163"/>
      <c r="D12" s="164">
        <f>'6.Cons Profit &amp; Loss'!B43</f>
        <v>97000</v>
      </c>
      <c r="E12" s="164">
        <f>'6.Cons Profit &amp; Loss'!C43</f>
        <v>97000</v>
      </c>
      <c r="F12" s="164">
        <f>'6.Cons Profit &amp; Loss'!D43</f>
        <v>97000</v>
      </c>
      <c r="G12" s="164">
        <f>'6.Cons Profit &amp; Loss'!E43</f>
        <v>97000</v>
      </c>
      <c r="H12" s="164">
        <f>'6.Cons Profit &amp; Loss'!F43</f>
        <v>97000</v>
      </c>
      <c r="I12" s="164">
        <f>'6.Cons Profit &amp; Loss'!G43</f>
        <v>0</v>
      </c>
      <c r="J12" s="164">
        <f>'6.Cons Profit &amp; Loss'!H43</f>
        <v>0</v>
      </c>
    </row>
    <row r="13" spans="2:12" ht="14.45" x14ac:dyDescent="0.35">
      <c r="B13" s="163"/>
      <c r="C13" s="163"/>
      <c r="D13" s="164"/>
      <c r="E13" s="164"/>
      <c r="F13" s="164"/>
      <c r="G13" s="164"/>
      <c r="H13" s="164"/>
      <c r="I13" s="164"/>
      <c r="J13" s="164"/>
    </row>
    <row r="14" spans="2:12" ht="14.45" x14ac:dyDescent="0.35">
      <c r="B14" s="163" t="s">
        <v>31</v>
      </c>
      <c r="C14" s="163"/>
      <c r="D14" s="164">
        <f>SUM(D9:D12)</f>
        <v>2960316.1730927923</v>
      </c>
      <c r="E14" s="164">
        <f t="shared" ref="E14:J14" si="0">SUM(E9:E12)</f>
        <v>5698115.8981574196</v>
      </c>
      <c r="F14" s="164">
        <f t="shared" si="0"/>
        <v>6290528.1627598088</v>
      </c>
      <c r="G14" s="164">
        <f t="shared" si="0"/>
        <v>8189089.8333843648</v>
      </c>
      <c r="H14" s="164">
        <f t="shared" si="0"/>
        <v>10301825.901076594</v>
      </c>
      <c r="I14" s="164">
        <f t="shared" si="0"/>
        <v>12460658.966930503</v>
      </c>
      <c r="J14" s="164">
        <f t="shared" si="0"/>
        <v>13935202.889083194</v>
      </c>
    </row>
    <row r="15" spans="2:12" ht="14.45" x14ac:dyDescent="0.35">
      <c r="B15" s="163" t="s">
        <v>328</v>
      </c>
      <c r="C15" s="166">
        <f>-'1.Project Cost and MOF'!D12</f>
        <v>-37446518.612104744</v>
      </c>
      <c r="D15" s="164">
        <f>D14</f>
        <v>2960316.1730927923</v>
      </c>
      <c r="E15" s="164">
        <f t="shared" ref="E15:J15" si="1">E14</f>
        <v>5698115.8981574196</v>
      </c>
      <c r="F15" s="164">
        <f t="shared" si="1"/>
        <v>6290528.1627598088</v>
      </c>
      <c r="G15" s="164">
        <f t="shared" si="1"/>
        <v>8189089.8333843648</v>
      </c>
      <c r="H15" s="164">
        <f t="shared" si="1"/>
        <v>10301825.901076594</v>
      </c>
      <c r="I15" s="164">
        <f t="shared" si="1"/>
        <v>12460658.966930503</v>
      </c>
      <c r="J15" s="164">
        <f t="shared" si="1"/>
        <v>13935202.889083194</v>
      </c>
    </row>
    <row r="16" spans="2:12" ht="14.45" x14ac:dyDescent="0.35">
      <c r="B16" s="163" t="s">
        <v>267</v>
      </c>
      <c r="C16" s="167">
        <f>IRR(C15:J15)</f>
        <v>0.10552316666274408</v>
      </c>
      <c r="D16" s="168"/>
      <c r="E16" s="168"/>
      <c r="F16" s="168"/>
      <c r="G16" s="168"/>
      <c r="H16" s="168"/>
      <c r="I16" s="168"/>
      <c r="J16" s="168"/>
    </row>
    <row r="17" spans="2:19" ht="14.45" x14ac:dyDescent="0.35">
      <c r="B17" s="163"/>
      <c r="C17" s="163"/>
      <c r="D17" s="163"/>
      <c r="E17" s="163"/>
      <c r="F17" s="163"/>
      <c r="G17" s="163"/>
      <c r="H17" s="163"/>
      <c r="I17" s="163"/>
      <c r="J17" s="163"/>
    </row>
    <row r="18" spans="2:19" ht="14.45" x14ac:dyDescent="0.35">
      <c r="B18" s="169" t="s">
        <v>383</v>
      </c>
      <c r="C18" s="169"/>
      <c r="D18" s="170">
        <f>1/(1+$C$16)</f>
        <v>0.90454911317572106</v>
      </c>
      <c r="E18" s="171">
        <f t="shared" ref="E18:J18" si="2">D18/(1+$C$16)</f>
        <v>0.81820909814698339</v>
      </c>
      <c r="F18" s="171">
        <f t="shared" si="2"/>
        <v>0.74011031412116035</v>
      </c>
      <c r="G18" s="171">
        <f t="shared" si="2"/>
        <v>0.6694661282904999</v>
      </c>
      <c r="H18" s="171">
        <f t="shared" si="2"/>
        <v>0.60556499264635522</v>
      </c>
      <c r="I18" s="171">
        <f t="shared" si="2"/>
        <v>0.54776327706852268</v>
      </c>
      <c r="J18" s="171">
        <f t="shared" si="2"/>
        <v>0.49547878650255894</v>
      </c>
      <c r="L18" s="172"/>
      <c r="M18" s="172"/>
      <c r="N18" s="172"/>
      <c r="O18" s="172"/>
      <c r="P18" s="172"/>
      <c r="Q18" s="172"/>
      <c r="R18" s="172"/>
      <c r="S18" s="172"/>
    </row>
    <row r="19" spans="2:19" ht="14.45" x14ac:dyDescent="0.35">
      <c r="B19" s="163" t="s">
        <v>32</v>
      </c>
      <c r="C19" s="163"/>
      <c r="D19" s="164">
        <f t="shared" ref="D19:J19" si="3">D14*D18</f>
        <v>2677751.3690908295</v>
      </c>
      <c r="E19" s="164">
        <f t="shared" si="3"/>
        <v>4662250.2701683706</v>
      </c>
      <c r="F19" s="164">
        <f t="shared" si="3"/>
        <v>4655684.7745281681</v>
      </c>
      <c r="G19" s="164">
        <f t="shared" si="3"/>
        <v>5482318.2649789257</v>
      </c>
      <c r="H19" s="164">
        <f t="shared" si="3"/>
        <v>6238425.1260294793</v>
      </c>
      <c r="I19" s="164">
        <f t="shared" si="3"/>
        <v>6825491.3901591245</v>
      </c>
      <c r="J19" s="164">
        <f t="shared" si="3"/>
        <v>6904597.4171498939</v>
      </c>
      <c r="L19" s="75"/>
    </row>
    <row r="20" spans="2:19" ht="14.45" x14ac:dyDescent="0.35">
      <c r="B20" s="163" t="s">
        <v>33</v>
      </c>
      <c r="C20" s="163"/>
      <c r="D20" s="458">
        <f>SUM(D19:J19)</f>
        <v>37446518.612104796</v>
      </c>
      <c r="E20" s="458"/>
      <c r="F20" s="458"/>
      <c r="G20" s="458"/>
      <c r="H20" s="458"/>
      <c r="I20" s="458"/>
      <c r="J20" s="458"/>
      <c r="L20" s="75"/>
    </row>
    <row r="21" spans="2:19" ht="14.45" x14ac:dyDescent="0.35">
      <c r="B21" s="163"/>
      <c r="C21" s="163"/>
      <c r="D21" s="168"/>
      <c r="E21" s="168"/>
      <c r="F21" s="168"/>
      <c r="G21" s="168"/>
      <c r="H21" s="168"/>
      <c r="I21" s="168"/>
      <c r="J21" s="168"/>
    </row>
    <row r="22" spans="2:19" ht="14.45" x14ac:dyDescent="0.35">
      <c r="B22" s="173" t="s">
        <v>34</v>
      </c>
      <c r="C22" s="173"/>
      <c r="D22" s="459">
        <f>'1.Project Cost and MOF'!D12</f>
        <v>37446518.612104744</v>
      </c>
      <c r="E22" s="459"/>
      <c r="F22" s="459"/>
      <c r="G22" s="459"/>
      <c r="H22" s="459"/>
      <c r="I22" s="459"/>
      <c r="J22" s="459"/>
    </row>
    <row r="23" spans="2:19" ht="14.45" x14ac:dyDescent="0.35">
      <c r="F23" s="172">
        <f>D20-D22</f>
        <v>0</v>
      </c>
    </row>
    <row r="24" spans="2:19" ht="29.45" customHeight="1" x14ac:dyDescent="0.25">
      <c r="B24" s="464" t="s">
        <v>400</v>
      </c>
      <c r="C24" s="464"/>
      <c r="D24" s="464"/>
      <c r="E24" s="464"/>
      <c r="F24" s="464"/>
      <c r="G24" s="464"/>
      <c r="H24" s="464"/>
      <c r="I24" s="464"/>
      <c r="J24" s="464"/>
    </row>
    <row r="25" spans="2:19" ht="14.45" x14ac:dyDescent="0.35">
      <c r="K25" s="172"/>
      <c r="L25" s="172"/>
      <c r="M25" s="172"/>
    </row>
    <row r="26" spans="2:19" x14ac:dyDescent="0.25">
      <c r="B26" s="427" t="s">
        <v>521</v>
      </c>
      <c r="C26" s="427"/>
      <c r="D26" s="427"/>
      <c r="E26" s="427"/>
      <c r="F26" s="427"/>
      <c r="G26" s="427"/>
      <c r="H26" s="427"/>
      <c r="I26" s="427"/>
    </row>
    <row r="27" spans="2:19" x14ac:dyDescent="0.25">
      <c r="K27" s="172"/>
    </row>
    <row r="28" spans="2:19" x14ac:dyDescent="0.25">
      <c r="B28" s="174" t="s">
        <v>0</v>
      </c>
      <c r="C28" s="161" t="s">
        <v>2</v>
      </c>
      <c r="D28" s="161" t="s">
        <v>3</v>
      </c>
      <c r="E28" s="161" t="s">
        <v>4</v>
      </c>
      <c r="F28" s="161" t="s">
        <v>5</v>
      </c>
      <c r="G28" s="161" t="s">
        <v>6</v>
      </c>
      <c r="H28" s="161" t="s">
        <v>166</v>
      </c>
      <c r="I28" s="161" t="s">
        <v>165</v>
      </c>
    </row>
    <row r="29" spans="2:19" x14ac:dyDescent="0.25">
      <c r="B29" s="47"/>
      <c r="C29" s="47"/>
      <c r="D29" s="47"/>
      <c r="E29" s="47"/>
      <c r="F29" s="47"/>
      <c r="G29" s="47"/>
      <c r="H29" s="47"/>
      <c r="I29" s="47"/>
    </row>
    <row r="30" spans="2:19" x14ac:dyDescent="0.25">
      <c r="B30" s="47" t="s">
        <v>36</v>
      </c>
      <c r="C30" s="47"/>
      <c r="D30" s="47"/>
      <c r="E30" s="47"/>
      <c r="F30" s="47"/>
      <c r="G30" s="47"/>
      <c r="H30" s="47"/>
      <c r="I30" s="47"/>
    </row>
    <row r="31" spans="2:19" x14ac:dyDescent="0.25">
      <c r="B31" s="47"/>
      <c r="C31" s="82"/>
      <c r="D31" s="82"/>
      <c r="E31" s="82"/>
      <c r="F31" s="82"/>
      <c r="G31" s="82"/>
      <c r="H31" s="82"/>
      <c r="I31" s="82"/>
    </row>
    <row r="32" spans="2:19" x14ac:dyDescent="0.25">
      <c r="B32" s="138" t="str">
        <f>'6.Cons Profit &amp; Loss'!A8</f>
        <v>Facility 1 - Cleaning &amp; Grading</v>
      </c>
      <c r="C32" s="82">
        <f>'6.Cons Profit &amp; Loss'!B8</f>
        <v>18641782.838000003</v>
      </c>
      <c r="D32" s="82">
        <f>'6.Cons Profit &amp; Loss'!C8</f>
        <v>23675038.597980004</v>
      </c>
      <c r="E32" s="82">
        <f>'6.Cons Profit &amp; Loss'!D8</f>
        <v>29008446.010298997</v>
      </c>
      <c r="F32" s="82">
        <f>'6.Cons Profit &amp; Loss'!E8</f>
        <v>34816006.567354955</v>
      </c>
      <c r="G32" s="82">
        <f>'6.Cons Profit &amp; Loss'!F8</f>
        <v>41131802.065090761</v>
      </c>
      <c r="H32" s="82">
        <f>'6.Cons Profit &amp; Loss'!G8</f>
        <v>47992137.096181743</v>
      </c>
      <c r="I32" s="82">
        <f>'6.Cons Profit &amp; Loss'!H8</f>
        <v>55435676.125219107</v>
      </c>
    </row>
    <row r="33" spans="2:9" x14ac:dyDescent="0.25">
      <c r="B33" s="138" t="str">
        <f>'6.Cons Profit &amp; Loss'!A9</f>
        <v>Facility 2 - Processing Unit- Dal Mill</v>
      </c>
      <c r="C33" s="82">
        <f>'6.Cons Profit &amp; Loss'!B9</f>
        <v>37121878.886400007</v>
      </c>
      <c r="D33" s="82">
        <f>'6.Cons Profit &amp; Loss'!C9</f>
        <v>45799208.421119995</v>
      </c>
      <c r="E33" s="82">
        <f>'6.Cons Profit &amp; Loss'!D9</f>
        <v>54967172.774975993</v>
      </c>
      <c r="F33" s="82">
        <f>'6.Cons Profit &amp; Loss'!E9</f>
        <v>64937435.543164805</v>
      </c>
      <c r="G33" s="82">
        <f>'6.Cons Profit &amp; Loss'!F9</f>
        <v>75767306.656235039</v>
      </c>
      <c r="H33" s="82">
        <f>'6.Cons Profit &amp; Loss'!G9</f>
        <v>87517821.291754425</v>
      </c>
      <c r="I33" s="82">
        <f>'6.Cons Profit &amp; Loss'!H9</f>
        <v>100253969.12418513</v>
      </c>
    </row>
    <row r="34" spans="2:9" x14ac:dyDescent="0.25">
      <c r="B34" s="138" t="str">
        <f>'6.Cons Profit &amp; Loss'!A10</f>
        <v>Facility 3 - Warehouse</v>
      </c>
      <c r="C34" s="82">
        <f>'6.Cons Profit &amp; Loss'!B10</f>
        <v>1296000</v>
      </c>
      <c r="D34" s="82">
        <f>'6.Cons Profit &amp; Loss'!C10</f>
        <v>1360800</v>
      </c>
      <c r="E34" s="82">
        <f>'6.Cons Profit &amp; Loss'!D10</f>
        <v>1428840</v>
      </c>
      <c r="F34" s="82">
        <f>'6.Cons Profit &amp; Loss'!E10</f>
        <v>1500282.0000000002</v>
      </c>
      <c r="G34" s="82">
        <f>'6.Cons Profit &amp; Loss'!F10</f>
        <v>1575296.1000000003</v>
      </c>
      <c r="H34" s="82">
        <f>'6.Cons Profit &amp; Loss'!G10</f>
        <v>1654060.9050000005</v>
      </c>
      <c r="I34" s="82">
        <f>'6.Cons Profit &amp; Loss'!H10</f>
        <v>1736763.9502500005</v>
      </c>
    </row>
    <row r="35" spans="2:9" x14ac:dyDescent="0.25">
      <c r="B35" s="138" t="str">
        <f>'6.Cons Profit &amp; Loss'!A11</f>
        <v xml:space="preserve">Facility 4 - Custom Hiring </v>
      </c>
      <c r="C35" s="82">
        <f>'6.Cons Profit &amp; Loss'!B11</f>
        <v>2178000</v>
      </c>
      <c r="D35" s="82">
        <f>'6.Cons Profit &amp; Loss'!C11</f>
        <v>2286900</v>
      </c>
      <c r="E35" s="82">
        <f>'6.Cons Profit &amp; Loss'!D11</f>
        <v>2401245</v>
      </c>
      <c r="F35" s="82">
        <f>'6.Cons Profit &amp; Loss'!E11</f>
        <v>2521307.2500000005</v>
      </c>
      <c r="G35" s="82">
        <f>'6.Cons Profit &amp; Loss'!F11</f>
        <v>2647372.6125000003</v>
      </c>
      <c r="H35" s="82">
        <f>'6.Cons Profit &amp; Loss'!G11</f>
        <v>2779741.2431250005</v>
      </c>
      <c r="I35" s="82">
        <f>'6.Cons Profit &amp; Loss'!H11</f>
        <v>2918728.3052812507</v>
      </c>
    </row>
    <row r="36" spans="2:9" x14ac:dyDescent="0.25">
      <c r="B36" s="138" t="str">
        <f>'6.Cons Profit &amp; Loss'!A12</f>
        <v>Facility 5 - Atta Chakki</v>
      </c>
      <c r="C36" s="82">
        <f>'6.Cons Profit &amp; Loss'!B12</f>
        <v>13664296.800000001</v>
      </c>
      <c r="D36" s="82">
        <f>'6.Cons Profit &amp; Loss'!C12</f>
        <v>17217013.968000002</v>
      </c>
      <c r="E36" s="82">
        <f>'6.Cons Profit &amp; Loss'!D12</f>
        <v>21090842.110800002</v>
      </c>
      <c r="F36" s="82">
        <f>'6.Cons Profit &amp; Loss'!E12</f>
        <v>25309010.532960001</v>
      </c>
      <c r="G36" s="82">
        <f>'6.Cons Profit &amp; Loss'!F12</f>
        <v>29896268.692059003</v>
      </c>
      <c r="H36" s="82">
        <f>'6.Cons Profit &amp; Loss'!G12</f>
        <v>34878980.140735507</v>
      </c>
      <c r="I36" s="82">
        <f>'6.Cons Profit &amp; Loss'!H12</f>
        <v>40285222.062549517</v>
      </c>
    </row>
    <row r="37" spans="2:9" x14ac:dyDescent="0.25">
      <c r="B37" s="138" t="str">
        <f>'6.Cons Profit &amp; Loss'!A13</f>
        <v>Facility 6 - Cattle Feed</v>
      </c>
      <c r="C37" s="82">
        <f>'6.Cons Profit &amp; Loss'!B13</f>
        <v>3571087.9049999998</v>
      </c>
      <c r="D37" s="82">
        <f>'6.Cons Profit &amp; Loss'!C13</f>
        <v>4696920.3550499994</v>
      </c>
      <c r="E37" s="82">
        <f>'6.Cons Profit &amp; Loss'!D13</f>
        <v>5760634.6707524993</v>
      </c>
      <c r="F37" s="82">
        <f>'6.Cons Profit &amp; Loss'!E13</f>
        <v>6918978.1171376249</v>
      </c>
      <c r="G37" s="82">
        <f>'6.Cons Profit &amp; Loss'!F13</f>
        <v>8178754.3214843804</v>
      </c>
      <c r="H37" s="82">
        <f>'6.Cons Profit &amp; Loss'!G13</f>
        <v>9547210.7009729668</v>
      </c>
      <c r="I37" s="82">
        <f>'6.Cons Profit &amp; Loss'!H13</f>
        <v>11032065.832606705</v>
      </c>
    </row>
    <row r="38" spans="2:9" x14ac:dyDescent="0.25">
      <c r="B38" s="138"/>
      <c r="C38" s="138"/>
      <c r="D38" s="138"/>
      <c r="E38" s="138"/>
      <c r="F38" s="138"/>
      <c r="G38" s="138"/>
      <c r="H38" s="138"/>
      <c r="I38" s="138"/>
    </row>
    <row r="39" spans="2:9" x14ac:dyDescent="0.25">
      <c r="B39" s="47" t="s">
        <v>8</v>
      </c>
      <c r="C39" s="82">
        <f>SUM(C32:C38)</f>
        <v>76473046.429400012</v>
      </c>
      <c r="D39" s="82">
        <f t="shared" ref="D39:I39" si="4">SUM(D32:D38)</f>
        <v>95035881.342150003</v>
      </c>
      <c r="E39" s="82">
        <f t="shared" si="4"/>
        <v>114657180.56682748</v>
      </c>
      <c r="F39" s="82">
        <f t="shared" si="4"/>
        <v>136003020.01061738</v>
      </c>
      <c r="G39" s="82">
        <f t="shared" si="4"/>
        <v>159196800.44736919</v>
      </c>
      <c r="H39" s="82">
        <f t="shared" si="4"/>
        <v>184369951.37776965</v>
      </c>
      <c r="I39" s="82">
        <f t="shared" si="4"/>
        <v>211662425.40009174</v>
      </c>
    </row>
    <row r="40" spans="2:9" x14ac:dyDescent="0.25">
      <c r="B40" s="47"/>
      <c r="C40" s="82"/>
      <c r="D40" s="82"/>
      <c r="E40" s="82"/>
      <c r="F40" s="82"/>
      <c r="G40" s="82"/>
      <c r="H40" s="82"/>
      <c r="I40" s="82"/>
    </row>
    <row r="41" spans="2:9" x14ac:dyDescent="0.25">
      <c r="B41" s="47" t="s">
        <v>37</v>
      </c>
      <c r="C41" s="82">
        <f>'6.Cons Profit &amp; Loss'!B25</f>
        <v>67683962.011641771</v>
      </c>
      <c r="D41" s="82">
        <f>'6.Cons Profit &amp; Loss'!C25</f>
        <v>82883046.344426155</v>
      </c>
      <c r="E41" s="82">
        <f>'6.Cons Profit &amp; Loss'!D25</f>
        <v>101576807.35670112</v>
      </c>
      <c r="F41" s="82">
        <f>'6.Cons Profit &amp; Loss'!E25</f>
        <v>120285018.93005452</v>
      </c>
      <c r="G41" s="82">
        <f>'6.Cons Profit &amp; Loss'!F25</f>
        <v>140604007.64388746</v>
      </c>
      <c r="H41" s="82">
        <f>'6.Cons Profit &amp; Loss'!G25</f>
        <v>162648386.28069064</v>
      </c>
      <c r="I41" s="82">
        <f>'6.Cons Profit &amp; Loss'!H25</f>
        <v>187540201.95835233</v>
      </c>
    </row>
    <row r="42" spans="2:9" x14ac:dyDescent="0.25">
      <c r="B42" s="47"/>
      <c r="C42" s="82"/>
      <c r="D42" s="82"/>
      <c r="E42" s="82"/>
      <c r="F42" s="82"/>
      <c r="G42" s="82"/>
      <c r="H42" s="82"/>
      <c r="I42" s="82"/>
    </row>
    <row r="43" spans="2:9" x14ac:dyDescent="0.25">
      <c r="B43" s="78" t="s">
        <v>38</v>
      </c>
      <c r="C43" s="84">
        <f>C39-C41</f>
        <v>8789084.4177582413</v>
      </c>
      <c r="D43" s="84">
        <f t="shared" ref="D43:I43" si="5">D39-D41</f>
        <v>12152834.997723848</v>
      </c>
      <c r="E43" s="84">
        <f t="shared" si="5"/>
        <v>13080373.210126355</v>
      </c>
      <c r="F43" s="84">
        <f t="shared" si="5"/>
        <v>15718001.08056286</v>
      </c>
      <c r="G43" s="84">
        <f t="shared" si="5"/>
        <v>18592792.803481728</v>
      </c>
      <c r="H43" s="84">
        <f t="shared" si="5"/>
        <v>21721565.097079009</v>
      </c>
      <c r="I43" s="84">
        <f t="shared" si="5"/>
        <v>24122223.44173941</v>
      </c>
    </row>
    <row r="44" spans="2:9" x14ac:dyDescent="0.25">
      <c r="B44" s="47"/>
      <c r="C44" s="82"/>
      <c r="D44" s="82"/>
      <c r="E44" s="82"/>
      <c r="F44" s="82"/>
      <c r="G44" s="82"/>
      <c r="H44" s="82"/>
      <c r="I44" s="82"/>
    </row>
    <row r="45" spans="2:9" x14ac:dyDescent="0.25">
      <c r="B45" s="78" t="s">
        <v>40</v>
      </c>
      <c r="C45" s="84">
        <f>'6.Cons Profit &amp; Loss'!B36+'6.Cons Profit &amp; Loss'!B42+'6.Cons Profit &amp; Loss'!B43</f>
        <v>6069421.4914500006</v>
      </c>
      <c r="D45" s="84">
        <f>'6.Cons Profit &amp; Loss'!C36+'6.Cons Profit &amp; Loss'!C42+'6.Cons Profit &amp; Loss'!C43</f>
        <v>6241523.9679000005</v>
      </c>
      <c r="E45" s="84">
        <f>'6.Cons Profit &amp; Loss'!D36+'6.Cons Profit &amp; Loss'!D42+'6.Cons Profit &amp; Loss'!D43</f>
        <v>6423141.4443500005</v>
      </c>
      <c r="F45" s="84">
        <f>'6.Cons Profit &amp; Loss'!E36+'6.Cons Profit &amp; Loss'!E42+'6.Cons Profit &amp; Loss'!E43</f>
        <v>6614749.6708000004</v>
      </c>
      <c r="G45" s="84">
        <f>'6.Cons Profit &amp; Loss'!F36+'6.Cons Profit &amp; Loss'!F42+'6.Cons Profit &amp; Loss'!F43</f>
        <v>6816848.18475</v>
      </c>
      <c r="H45" s="84">
        <f>'6.Cons Profit &amp; Loss'!G36+'6.Cons Profit &amp; Loss'!G42+'6.Cons Profit &amp; Loss'!G43</f>
        <v>6932961.5005750004</v>
      </c>
      <c r="I45" s="84">
        <f>'6.Cons Profit &amp; Loss'!H36+'6.Cons Profit &amp; Loss'!H42+'6.Cons Profit &amp; Loss'!H43</f>
        <v>7157640.3583687507</v>
      </c>
    </row>
    <row r="46" spans="2:9" x14ac:dyDescent="0.25">
      <c r="B46" s="47"/>
      <c r="C46" s="47"/>
      <c r="D46" s="47"/>
      <c r="E46" s="47"/>
      <c r="F46" s="47"/>
      <c r="G46" s="47"/>
      <c r="H46" s="47"/>
      <c r="I46" s="47"/>
    </row>
    <row r="47" spans="2:9" x14ac:dyDescent="0.25">
      <c r="B47" s="47" t="s">
        <v>39</v>
      </c>
      <c r="C47" s="120">
        <f>C45/C43</f>
        <v>0.6905635675983276</v>
      </c>
      <c r="D47" s="120">
        <f>D45/D43</f>
        <v>0.51358583977063788</v>
      </c>
      <c r="E47" s="120">
        <f>E45/E43</f>
        <v>0.49105184853421729</v>
      </c>
      <c r="F47" s="120">
        <f>F45/F43</f>
        <v>0.42083911541270408</v>
      </c>
      <c r="G47" s="120">
        <f>G45/G43</f>
        <v>0.36663928097308018</v>
      </c>
      <c r="H47" s="120">
        <f t="shared" ref="H47:I47" si="6">H45/H43</f>
        <v>0.31917412348465191</v>
      </c>
      <c r="I47" s="120">
        <f t="shared" si="6"/>
        <v>0.29672390588935804</v>
      </c>
    </row>
    <row r="49" spans="2:10" x14ac:dyDescent="0.25">
      <c r="B49" s="110" t="s">
        <v>133</v>
      </c>
      <c r="C49" s="175">
        <f>AVERAGE(C47:I47)</f>
        <v>0.44265395452328249</v>
      </c>
    </row>
    <row r="51" spans="2:10" ht="41.45" customHeight="1" x14ac:dyDescent="0.25">
      <c r="B51" s="465" t="s">
        <v>401</v>
      </c>
      <c r="C51" s="465"/>
      <c r="D51" s="465"/>
      <c r="E51" s="465"/>
      <c r="F51" s="465"/>
      <c r="G51" s="465"/>
      <c r="H51" s="465"/>
      <c r="I51" s="465"/>
      <c r="J51" s="465"/>
    </row>
    <row r="54" spans="2:10" x14ac:dyDescent="0.25">
      <c r="B54" s="427" t="s">
        <v>522</v>
      </c>
      <c r="C54" s="427"/>
      <c r="D54" s="427"/>
      <c r="E54" s="427"/>
      <c r="F54" s="427"/>
      <c r="G54" s="427"/>
      <c r="H54" s="427"/>
      <c r="I54" s="427"/>
    </row>
    <row r="56" spans="2:10" x14ac:dyDescent="0.25">
      <c r="B56" s="66" t="s">
        <v>29</v>
      </c>
      <c r="C56" s="113" t="s">
        <v>2</v>
      </c>
      <c r="D56" s="113" t="s">
        <v>3</v>
      </c>
      <c r="E56" s="113" t="s">
        <v>4</v>
      </c>
      <c r="F56" s="113" t="s">
        <v>5</v>
      </c>
      <c r="G56" s="113" t="s">
        <v>6</v>
      </c>
      <c r="H56" s="113" t="s">
        <v>166</v>
      </c>
      <c r="I56" s="113" t="s">
        <v>165</v>
      </c>
    </row>
    <row r="57" spans="2:10" x14ac:dyDescent="0.25">
      <c r="B57" s="47"/>
      <c r="C57" s="47"/>
      <c r="D57" s="47"/>
      <c r="E57" s="47"/>
      <c r="F57" s="47"/>
      <c r="G57" s="47"/>
      <c r="H57" s="47"/>
      <c r="I57" s="47"/>
    </row>
    <row r="58" spans="2:10" x14ac:dyDescent="0.25">
      <c r="B58" s="47" t="s">
        <v>357</v>
      </c>
      <c r="C58" s="176">
        <f>'6.Cons Profit &amp; Loss'!B51</f>
        <v>1043563.8180927923</v>
      </c>
      <c r="D58" s="176">
        <f>'6.Cons Profit &amp; Loss'!C51</f>
        <v>3781363.5431574192</v>
      </c>
      <c r="E58" s="176">
        <f>'6.Cons Profit &amp; Loss'!D51</f>
        <v>4373775.8077598093</v>
      </c>
      <c r="F58" s="176">
        <f>'6.Cons Profit &amp; Loss'!E51</f>
        <v>6272337.4783843644</v>
      </c>
      <c r="G58" s="176">
        <f>'6.Cons Profit &amp; Loss'!F51</f>
        <v>8385073.5460765939</v>
      </c>
      <c r="H58" s="176">
        <f>'6.Cons Profit &amp; Loss'!G51</f>
        <v>10640906.611930503</v>
      </c>
      <c r="I58" s="176">
        <f>'6.Cons Profit &amp; Loss'!H51</f>
        <v>12115450.534083193</v>
      </c>
    </row>
    <row r="59" spans="2:10" x14ac:dyDescent="0.25">
      <c r="B59" s="47"/>
      <c r="C59" s="176"/>
      <c r="D59" s="176"/>
      <c r="E59" s="176"/>
      <c r="F59" s="176"/>
      <c r="G59" s="176"/>
      <c r="H59" s="176"/>
      <c r="I59" s="176"/>
    </row>
    <row r="60" spans="2:10" x14ac:dyDescent="0.25">
      <c r="B60" s="47" t="s">
        <v>41</v>
      </c>
      <c r="C60" s="176">
        <f>'6.Cons Profit &amp; Loss'!B42</f>
        <v>1819752.355</v>
      </c>
      <c r="D60" s="176">
        <f>'6.Cons Profit &amp; Loss'!C42</f>
        <v>1819752.355</v>
      </c>
      <c r="E60" s="176">
        <f>'6.Cons Profit &amp; Loss'!D42</f>
        <v>1819752.355</v>
      </c>
      <c r="F60" s="176">
        <f>'6.Cons Profit &amp; Loss'!E42</f>
        <v>1819752.355</v>
      </c>
      <c r="G60" s="176">
        <f>'6.Cons Profit &amp; Loss'!F42</f>
        <v>1819752.355</v>
      </c>
      <c r="H60" s="176">
        <f>'6.Cons Profit &amp; Loss'!G42</f>
        <v>1819752.355</v>
      </c>
      <c r="I60" s="176">
        <f>'6.Cons Profit &amp; Loss'!H42</f>
        <v>1819752.355</v>
      </c>
    </row>
    <row r="61" spans="2:10" x14ac:dyDescent="0.25">
      <c r="B61" s="80" t="s">
        <v>47</v>
      </c>
      <c r="C61" s="176">
        <f>'6.Cons Profit &amp; Loss'!B43</f>
        <v>97000</v>
      </c>
      <c r="D61" s="176">
        <f>'6.Cons Profit &amp; Loss'!C43</f>
        <v>97000</v>
      </c>
      <c r="E61" s="176">
        <f>'6.Cons Profit &amp; Loss'!D43</f>
        <v>97000</v>
      </c>
      <c r="F61" s="176">
        <f>'6.Cons Profit &amp; Loss'!E43</f>
        <v>97000</v>
      </c>
      <c r="G61" s="176">
        <f>'6.Cons Profit &amp; Loss'!F43</f>
        <v>97000</v>
      </c>
      <c r="H61" s="176">
        <f>'6.Cons Profit &amp; Loss'!G43</f>
        <v>0</v>
      </c>
      <c r="I61" s="176">
        <f>'6.Cons Profit &amp; Loss'!H43</f>
        <v>0</v>
      </c>
    </row>
    <row r="62" spans="2:10" x14ac:dyDescent="0.25">
      <c r="B62" s="47"/>
      <c r="C62" s="176"/>
      <c r="D62" s="176"/>
      <c r="E62" s="176"/>
      <c r="F62" s="176"/>
      <c r="G62" s="176"/>
      <c r="H62" s="176"/>
      <c r="I62" s="176"/>
    </row>
    <row r="63" spans="2:10" x14ac:dyDescent="0.25">
      <c r="B63" s="47" t="s">
        <v>31</v>
      </c>
      <c r="C63" s="176">
        <f>SUM(C58:C61)</f>
        <v>2960316.1730927923</v>
      </c>
      <c r="D63" s="176">
        <f t="shared" ref="D63:I63" si="7">SUM(D58:D61)</f>
        <v>5698115.8981574196</v>
      </c>
      <c r="E63" s="176">
        <f t="shared" si="7"/>
        <v>6290528.1627598088</v>
      </c>
      <c r="F63" s="176">
        <f t="shared" si="7"/>
        <v>8189089.8333843648</v>
      </c>
      <c r="G63" s="176">
        <f t="shared" si="7"/>
        <v>10301825.901076594</v>
      </c>
      <c r="H63" s="176">
        <f t="shared" si="7"/>
        <v>12460658.966930503</v>
      </c>
      <c r="I63" s="176">
        <f t="shared" si="7"/>
        <v>13935202.889083194</v>
      </c>
    </row>
    <row r="64" spans="2:10" x14ac:dyDescent="0.25">
      <c r="B64" s="47"/>
      <c r="C64" s="47"/>
      <c r="D64" s="47"/>
      <c r="E64" s="47"/>
      <c r="F64" s="47"/>
      <c r="G64" s="47"/>
      <c r="H64" s="47"/>
      <c r="I64" s="47"/>
    </row>
    <row r="65" spans="2:10" x14ac:dyDescent="0.25">
      <c r="B65" s="177" t="s">
        <v>42</v>
      </c>
      <c r="C65" s="138">
        <f>1/1.1</f>
        <v>0.90909090909090906</v>
      </c>
      <c r="D65" s="138">
        <f t="shared" ref="D65:I65" si="8">C65/1.1</f>
        <v>0.82644628099173545</v>
      </c>
      <c r="E65" s="138">
        <f t="shared" si="8"/>
        <v>0.75131480090157765</v>
      </c>
      <c r="F65" s="138">
        <f t="shared" si="8"/>
        <v>0.68301345536507052</v>
      </c>
      <c r="G65" s="138">
        <f t="shared" si="8"/>
        <v>0.62092132305915493</v>
      </c>
      <c r="H65" s="138">
        <f t="shared" si="8"/>
        <v>0.56447393005377711</v>
      </c>
      <c r="I65" s="138">
        <f t="shared" si="8"/>
        <v>0.51315811823070645</v>
      </c>
    </row>
    <row r="66" spans="2:10" x14ac:dyDescent="0.25">
      <c r="B66" s="47"/>
      <c r="C66" s="47"/>
      <c r="D66" s="47"/>
      <c r="E66" s="47"/>
      <c r="F66" s="47"/>
      <c r="G66" s="47"/>
      <c r="H66" s="47"/>
      <c r="I66" s="47"/>
    </row>
    <row r="67" spans="2:10" x14ac:dyDescent="0.25">
      <c r="B67" s="177" t="s">
        <v>43</v>
      </c>
      <c r="C67" s="82">
        <f>C63*C65</f>
        <v>2691196.5209934474</v>
      </c>
      <c r="D67" s="82">
        <f t="shared" ref="D67:I67" si="9">D63*D65</f>
        <v>4709186.6926920814</v>
      </c>
      <c r="E67" s="82">
        <f t="shared" si="9"/>
        <v>4726166.9141696524</v>
      </c>
      <c r="F67" s="82">
        <f t="shared" si="9"/>
        <v>5593258.5433948245</v>
      </c>
      <c r="G67" s="82">
        <f t="shared" si="9"/>
        <v>6396623.3684215499</v>
      </c>
      <c r="H67" s="82">
        <f t="shared" si="9"/>
        <v>7033717.1381230997</v>
      </c>
      <c r="I67" s="82">
        <f t="shared" si="9"/>
        <v>7150962.4917250359</v>
      </c>
    </row>
    <row r="68" spans="2:10" x14ac:dyDescent="0.25">
      <c r="C68" s="118"/>
      <c r="D68" s="118"/>
      <c r="E68" s="118"/>
      <c r="F68" s="118"/>
      <c r="G68" s="118"/>
      <c r="H68" s="118"/>
      <c r="I68" s="118"/>
    </row>
    <row r="69" spans="2:10" x14ac:dyDescent="0.25">
      <c r="B69" s="178" t="s">
        <v>44</v>
      </c>
      <c r="C69" s="118">
        <f>SUM(C67:I67)</f>
        <v>38301111.669519693</v>
      </c>
      <c r="D69" s="118"/>
      <c r="E69" s="118"/>
      <c r="F69" s="118"/>
      <c r="G69" s="118"/>
      <c r="H69" s="118"/>
      <c r="I69" s="118"/>
    </row>
    <row r="70" spans="2:10" x14ac:dyDescent="0.25">
      <c r="C70" s="118"/>
      <c r="D70" s="118"/>
      <c r="E70" s="118"/>
      <c r="F70" s="118"/>
      <c r="G70" s="118"/>
      <c r="H70" s="118"/>
      <c r="I70" s="118"/>
    </row>
    <row r="71" spans="2:10" x14ac:dyDescent="0.25">
      <c r="B71" s="178" t="s">
        <v>45</v>
      </c>
      <c r="C71" s="118">
        <f>'1.Project Cost and MOF'!D12</f>
        <v>37446518.612104744</v>
      </c>
      <c r="D71" s="118"/>
      <c r="E71" s="118"/>
      <c r="F71" s="118"/>
      <c r="G71" s="118"/>
      <c r="H71" s="118"/>
      <c r="I71" s="118"/>
    </row>
    <row r="72" spans="2:10" x14ac:dyDescent="0.25">
      <c r="C72" s="179"/>
    </row>
    <row r="73" spans="2:10" x14ac:dyDescent="0.25">
      <c r="B73" s="178" t="s">
        <v>46</v>
      </c>
      <c r="C73" s="122">
        <f>C69-C71</f>
        <v>854593.05741494894</v>
      </c>
    </row>
    <row r="75" spans="2:10" ht="35.1" customHeight="1" x14ac:dyDescent="0.25">
      <c r="B75" s="430" t="s">
        <v>402</v>
      </c>
      <c r="C75" s="430"/>
      <c r="D75" s="430"/>
      <c r="E75" s="430"/>
      <c r="F75" s="430"/>
      <c r="G75" s="430"/>
      <c r="H75" s="430"/>
      <c r="I75" s="430"/>
      <c r="J75" s="430"/>
    </row>
    <row r="76" spans="2:10" x14ac:dyDescent="0.25">
      <c r="B76" s="427" t="s">
        <v>523</v>
      </c>
      <c r="C76" s="427"/>
      <c r="D76" s="427"/>
      <c r="E76" s="427"/>
      <c r="F76" s="427"/>
      <c r="G76" s="427"/>
      <c r="H76" s="427"/>
      <c r="I76" s="427"/>
    </row>
    <row r="78" spans="2:10" x14ac:dyDescent="0.25">
      <c r="B78" s="113" t="s">
        <v>0</v>
      </c>
      <c r="C78" s="113" t="s">
        <v>2</v>
      </c>
      <c r="D78" s="113" t="s">
        <v>3</v>
      </c>
      <c r="E78" s="113" t="s">
        <v>4</v>
      </c>
      <c r="F78" s="113" t="s">
        <v>5</v>
      </c>
      <c r="G78" s="113" t="s">
        <v>6</v>
      </c>
      <c r="H78" s="113" t="s">
        <v>166</v>
      </c>
      <c r="I78" s="113" t="s">
        <v>165</v>
      </c>
    </row>
    <row r="79" spans="2:10" x14ac:dyDescent="0.25">
      <c r="B79" s="180"/>
      <c r="C79" s="181"/>
      <c r="D79" s="181"/>
      <c r="E79" s="181"/>
      <c r="F79" s="181"/>
      <c r="G79" s="181"/>
      <c r="H79" s="181"/>
      <c r="I79" s="181"/>
    </row>
    <row r="80" spans="2:10" x14ac:dyDescent="0.25">
      <c r="B80" s="78" t="s">
        <v>27</v>
      </c>
      <c r="C80" s="82">
        <f>'6.Cons Profit &amp; Loss'!B51</f>
        <v>1043563.8180927923</v>
      </c>
      <c r="D80" s="82">
        <f>'6.Cons Profit &amp; Loss'!C51</f>
        <v>3781363.5431574192</v>
      </c>
      <c r="E80" s="82">
        <f>'6.Cons Profit &amp; Loss'!D51</f>
        <v>4373775.8077598093</v>
      </c>
      <c r="F80" s="82">
        <f>'6.Cons Profit &amp; Loss'!E51</f>
        <v>6272337.4783843644</v>
      </c>
      <c r="G80" s="82">
        <f>'6.Cons Profit &amp; Loss'!F51</f>
        <v>8385073.5460765939</v>
      </c>
      <c r="H80" s="82">
        <f>'6.Cons Profit &amp; Loss'!G51</f>
        <v>10640906.611930503</v>
      </c>
      <c r="I80" s="82">
        <f>'6.Cons Profit &amp; Loss'!H51</f>
        <v>12115450.534083193</v>
      </c>
    </row>
    <row r="81" spans="2:10" x14ac:dyDescent="0.25">
      <c r="B81" s="47"/>
      <c r="C81" s="47"/>
      <c r="D81" s="47"/>
      <c r="E81" s="47"/>
      <c r="F81" s="47"/>
      <c r="G81" s="47"/>
      <c r="H81" s="47"/>
      <c r="I81" s="47"/>
    </row>
    <row r="82" spans="2:10" x14ac:dyDescent="0.25">
      <c r="B82" s="78" t="s">
        <v>123</v>
      </c>
      <c r="C82" s="461">
        <f>AVERAGE(C80:I80)</f>
        <v>6658924.4770692391</v>
      </c>
      <c r="D82" s="461"/>
      <c r="E82" s="461"/>
      <c r="F82" s="461"/>
      <c r="G82" s="461"/>
      <c r="H82" s="461"/>
      <c r="I82" s="461"/>
    </row>
    <row r="83" spans="2:10" x14ac:dyDescent="0.25">
      <c r="B83" s="78" t="s">
        <v>124</v>
      </c>
      <c r="C83" s="461">
        <f>'1.Project Cost and MOF'!D12</f>
        <v>37446518.612104744</v>
      </c>
      <c r="D83" s="461"/>
      <c r="E83" s="461"/>
      <c r="F83" s="461"/>
      <c r="G83" s="461"/>
      <c r="H83" s="461"/>
      <c r="I83" s="461"/>
    </row>
    <row r="84" spans="2:10" x14ac:dyDescent="0.25">
      <c r="B84" s="47"/>
      <c r="C84" s="47"/>
      <c r="D84" s="47"/>
      <c r="E84" s="47"/>
      <c r="F84" s="47"/>
      <c r="G84" s="47"/>
      <c r="H84" s="47"/>
      <c r="I84" s="47"/>
    </row>
    <row r="85" spans="2:10" x14ac:dyDescent="0.25">
      <c r="B85" s="182" t="s">
        <v>125</v>
      </c>
      <c r="C85" s="462">
        <f>C82/C83</f>
        <v>0.17782492802726696</v>
      </c>
      <c r="D85" s="462"/>
      <c r="E85" s="462"/>
      <c r="F85" s="462"/>
      <c r="G85" s="462"/>
      <c r="H85" s="462"/>
      <c r="I85" s="462"/>
    </row>
    <row r="88" spans="2:10" x14ac:dyDescent="0.25">
      <c r="B88" s="460" t="s">
        <v>403</v>
      </c>
      <c r="C88" s="460"/>
      <c r="D88" s="460"/>
      <c r="E88" s="460"/>
      <c r="F88" s="460"/>
      <c r="G88" s="460"/>
      <c r="H88" s="460"/>
      <c r="I88" s="460"/>
    </row>
    <row r="90" spans="2:10" x14ac:dyDescent="0.25">
      <c r="B90" s="427" t="s">
        <v>524</v>
      </c>
      <c r="C90" s="427"/>
      <c r="D90" s="427"/>
      <c r="E90" s="427"/>
      <c r="F90" s="427"/>
      <c r="G90" s="427"/>
      <c r="H90" s="427"/>
      <c r="I90" s="427"/>
      <c r="J90" s="427"/>
    </row>
    <row r="92" spans="2:10" x14ac:dyDescent="0.25">
      <c r="B92" s="161" t="s">
        <v>0</v>
      </c>
      <c r="C92" s="161" t="s">
        <v>319</v>
      </c>
      <c r="D92" s="161" t="s">
        <v>2</v>
      </c>
      <c r="E92" s="161" t="s">
        <v>3</v>
      </c>
      <c r="F92" s="161" t="s">
        <v>4</v>
      </c>
      <c r="G92" s="161" t="s">
        <v>5</v>
      </c>
      <c r="H92" s="161" t="s">
        <v>6</v>
      </c>
      <c r="I92" s="161" t="s">
        <v>166</v>
      </c>
      <c r="J92" s="161" t="s">
        <v>165</v>
      </c>
    </row>
    <row r="93" spans="2:10" x14ac:dyDescent="0.25">
      <c r="B93" s="180"/>
      <c r="C93" s="180"/>
      <c r="D93" s="181"/>
      <c r="E93" s="181"/>
      <c r="F93" s="181"/>
      <c r="G93" s="181"/>
      <c r="H93" s="181"/>
      <c r="I93" s="181"/>
      <c r="J93" s="181"/>
    </row>
    <row r="94" spans="2:10" x14ac:dyDescent="0.25">
      <c r="B94" s="70" t="s">
        <v>268</v>
      </c>
      <c r="C94" s="183">
        <f>'1.Project Cost and MOF'!D12</f>
        <v>37446518.612104744</v>
      </c>
      <c r="D94" s="181"/>
      <c r="E94" s="181"/>
      <c r="F94" s="181"/>
      <c r="G94" s="181"/>
      <c r="H94" s="181"/>
      <c r="I94" s="181"/>
      <c r="J94" s="181"/>
    </row>
    <row r="95" spans="2:10" x14ac:dyDescent="0.25">
      <c r="B95" s="47" t="str">
        <f>B58</f>
        <v>Profit after Tax &amp; Dividend</v>
      </c>
      <c r="C95" s="47"/>
      <c r="D95" s="82">
        <f>'6.Cons Profit &amp; Loss'!B51</f>
        <v>1043563.8180927923</v>
      </c>
      <c r="E95" s="82">
        <f>'6.Cons Profit &amp; Loss'!C51</f>
        <v>3781363.5431574192</v>
      </c>
      <c r="F95" s="82">
        <f>'6.Cons Profit &amp; Loss'!D51</f>
        <v>4373775.8077598093</v>
      </c>
      <c r="G95" s="82">
        <f>'6.Cons Profit &amp; Loss'!E51</f>
        <v>6272337.4783843644</v>
      </c>
      <c r="H95" s="82">
        <f>'6.Cons Profit &amp; Loss'!F51</f>
        <v>8385073.5460765939</v>
      </c>
      <c r="I95" s="82">
        <f>'6.Cons Profit &amp; Loss'!G51</f>
        <v>10640906.611930503</v>
      </c>
      <c r="J95" s="82">
        <f>'6.Cons Profit &amp; Loss'!H51</f>
        <v>12115450.534083193</v>
      </c>
    </row>
    <row r="96" spans="2:10" x14ac:dyDescent="0.25">
      <c r="B96" s="47" t="str">
        <f>B60</f>
        <v>Add: Deprication</v>
      </c>
      <c r="C96" s="47"/>
      <c r="D96" s="184">
        <f>'6.Cons Profit &amp; Loss'!B42</f>
        <v>1819752.355</v>
      </c>
      <c r="E96" s="184">
        <f>'6.Cons Profit &amp; Loss'!C42</f>
        <v>1819752.355</v>
      </c>
      <c r="F96" s="184">
        <f>'6.Cons Profit &amp; Loss'!D42</f>
        <v>1819752.355</v>
      </c>
      <c r="G96" s="184">
        <f>'6.Cons Profit &amp; Loss'!E42</f>
        <v>1819752.355</v>
      </c>
      <c r="H96" s="184">
        <f>'6.Cons Profit &amp; Loss'!F42</f>
        <v>1819752.355</v>
      </c>
      <c r="I96" s="184">
        <f>'6.Cons Profit &amp; Loss'!G42</f>
        <v>1819752.355</v>
      </c>
      <c r="J96" s="184">
        <f>'6.Cons Profit &amp; Loss'!H42</f>
        <v>1819752.355</v>
      </c>
    </row>
    <row r="97" spans="2:10" x14ac:dyDescent="0.25">
      <c r="B97" s="47" t="str">
        <f>B61</f>
        <v>Add. Preliminary exp Written off</v>
      </c>
      <c r="C97" s="47"/>
      <c r="D97" s="184">
        <f>'6.Cons Profit &amp; Loss'!B43</f>
        <v>97000</v>
      </c>
      <c r="E97" s="184">
        <f>'6.Cons Profit &amp; Loss'!C43</f>
        <v>97000</v>
      </c>
      <c r="F97" s="184">
        <f>'6.Cons Profit &amp; Loss'!D43</f>
        <v>97000</v>
      </c>
      <c r="G97" s="184">
        <f>'6.Cons Profit &amp; Loss'!E43</f>
        <v>97000</v>
      </c>
      <c r="H97" s="184">
        <f>'6.Cons Profit &amp; Loss'!F43</f>
        <v>97000</v>
      </c>
      <c r="I97" s="184">
        <f>'6.Cons Profit &amp; Loss'!G43</f>
        <v>0</v>
      </c>
      <c r="J97" s="184">
        <f>'6.Cons Profit &amp; Loss'!H43</f>
        <v>0</v>
      </c>
    </row>
    <row r="98" spans="2:10" x14ac:dyDescent="0.25">
      <c r="B98" s="47" t="str">
        <f>B63</f>
        <v xml:space="preserve">Net Cash Accrual (A)      </v>
      </c>
      <c r="C98" s="47"/>
      <c r="D98" s="46">
        <f>SUM(D95:D97)</f>
        <v>2960316.1730927923</v>
      </c>
      <c r="E98" s="46">
        <f t="shared" ref="E98:J98" si="10">SUM(E95:E97)</f>
        <v>5698115.8981574196</v>
      </c>
      <c r="F98" s="46">
        <f t="shared" si="10"/>
        <v>6290528.1627598088</v>
      </c>
      <c r="G98" s="46">
        <f t="shared" si="10"/>
        <v>8189089.8333843648</v>
      </c>
      <c r="H98" s="46">
        <f t="shared" si="10"/>
        <v>10301825.901076594</v>
      </c>
      <c r="I98" s="46">
        <f t="shared" si="10"/>
        <v>12460658.966930503</v>
      </c>
      <c r="J98" s="46">
        <f t="shared" si="10"/>
        <v>13935202.889083194</v>
      </c>
    </row>
    <row r="99" spans="2:10" x14ac:dyDescent="0.25">
      <c r="B99" s="70" t="s">
        <v>269</v>
      </c>
      <c r="C99" s="185"/>
      <c r="D99" s="186">
        <f>D98-C94</f>
        <v>-34486202.439011954</v>
      </c>
      <c r="E99" s="186">
        <f>D99+E98</f>
        <v>-28788086.540854536</v>
      </c>
      <c r="F99" s="186">
        <f>E99+F98</f>
        <v>-22497558.378094725</v>
      </c>
      <c r="G99" s="186">
        <f>F99+G98</f>
        <v>-14308468.54471036</v>
      </c>
      <c r="H99" s="186">
        <f>G99+H98</f>
        <v>-4006642.6436337661</v>
      </c>
      <c r="I99" s="187"/>
      <c r="J99" s="187"/>
    </row>
    <row r="101" spans="2:10" x14ac:dyDescent="0.25">
      <c r="B101" s="188" t="s">
        <v>270</v>
      </c>
      <c r="D101" s="189">
        <f>4+(-G99/H98)</f>
        <v>5.3889254858417912</v>
      </c>
    </row>
    <row r="103" spans="2:10" x14ac:dyDescent="0.25">
      <c r="B103" s="460" t="s">
        <v>404</v>
      </c>
      <c r="C103" s="460"/>
      <c r="D103" s="460"/>
      <c r="E103" s="460"/>
      <c r="F103" s="460"/>
      <c r="G103" s="460"/>
      <c r="H103" s="460"/>
      <c r="I103" s="460"/>
      <c r="J103" s="460"/>
    </row>
    <row r="105" spans="2:10" x14ac:dyDescent="0.25">
      <c r="B105" s="427" t="s">
        <v>525</v>
      </c>
      <c r="C105" s="427"/>
      <c r="D105" s="427"/>
      <c r="E105" s="427"/>
      <c r="F105" s="427"/>
      <c r="G105" s="427"/>
      <c r="H105" s="427"/>
      <c r="I105" s="427"/>
    </row>
    <row r="107" spans="2:10" x14ac:dyDescent="0.25">
      <c r="B107" s="113" t="s">
        <v>0</v>
      </c>
      <c r="C107" s="113" t="s">
        <v>2</v>
      </c>
      <c r="D107" s="113" t="s">
        <v>3</v>
      </c>
      <c r="E107" s="113" t="s">
        <v>4</v>
      </c>
      <c r="F107" s="113" t="s">
        <v>5</v>
      </c>
      <c r="G107" s="113" t="s">
        <v>6</v>
      </c>
      <c r="H107" s="113" t="s">
        <v>166</v>
      </c>
      <c r="I107" s="113" t="s">
        <v>165</v>
      </c>
    </row>
    <row r="108" spans="2:10" x14ac:dyDescent="0.25">
      <c r="B108" s="180"/>
      <c r="C108" s="181"/>
      <c r="D108" s="181"/>
      <c r="E108" s="181"/>
      <c r="F108" s="181"/>
      <c r="G108" s="181"/>
      <c r="H108" s="181"/>
      <c r="I108" s="181"/>
    </row>
    <row r="109" spans="2:10" x14ac:dyDescent="0.25">
      <c r="B109" s="47" t="s">
        <v>322</v>
      </c>
      <c r="C109" s="82">
        <f>'6.Cons Profit &amp; Loss'!B40</f>
        <v>4636415.2813082486</v>
      </c>
      <c r="D109" s="82">
        <f>'6.Cons Profit &amp; Loss'!C40</f>
        <v>7828063.3848238438</v>
      </c>
      <c r="E109" s="82">
        <f>'6.Cons Profit &amp; Loss'!D40</f>
        <v>8573984.1207763553</v>
      </c>
      <c r="F109" s="82">
        <f>'6.Cons Profit &amp; Loss'!E40</f>
        <v>11020003.764762864</v>
      </c>
      <c r="G109" s="82">
        <f>'6.Cons Profit &amp; Loss'!F40</f>
        <v>13692696.973731726</v>
      </c>
      <c r="H109" s="82">
        <f>'6.Cons Profit &amp; Loss'!G40</f>
        <v>16608355.951504022</v>
      </c>
      <c r="I109" s="82">
        <f>'6.Cons Profit &amp; Loss'!H40</f>
        <v>18784335.438370645</v>
      </c>
    </row>
    <row r="110" spans="2:10" x14ac:dyDescent="0.25">
      <c r="B110" s="78" t="s">
        <v>1</v>
      </c>
      <c r="C110" s="190">
        <f>SUM(C109)</f>
        <v>4636415.2813082486</v>
      </c>
      <c r="D110" s="190">
        <f t="shared" ref="D110:I110" si="11">SUM(D109)</f>
        <v>7828063.3848238438</v>
      </c>
      <c r="E110" s="190">
        <f t="shared" si="11"/>
        <v>8573984.1207763553</v>
      </c>
      <c r="F110" s="190">
        <f t="shared" si="11"/>
        <v>11020003.764762864</v>
      </c>
      <c r="G110" s="190">
        <f t="shared" si="11"/>
        <v>13692696.973731726</v>
      </c>
      <c r="H110" s="190">
        <f t="shared" si="11"/>
        <v>16608355.951504022</v>
      </c>
      <c r="I110" s="190">
        <f t="shared" si="11"/>
        <v>18784335.438370645</v>
      </c>
    </row>
    <row r="111" spans="2:10" x14ac:dyDescent="0.25">
      <c r="B111" s="47"/>
      <c r="C111" s="47"/>
      <c r="D111" s="47"/>
      <c r="E111" s="47"/>
      <c r="F111" s="47"/>
      <c r="G111" s="47"/>
      <c r="H111" s="47"/>
      <c r="I111" s="47"/>
    </row>
    <row r="112" spans="2:10" x14ac:dyDescent="0.25">
      <c r="B112" s="70" t="s">
        <v>271</v>
      </c>
      <c r="C112" s="186">
        <f>'8.Cash Flow '!C26+'8.Cash Flow '!C27</f>
        <v>2609483.4224700341</v>
      </c>
      <c r="D112" s="186">
        <f>'8.Cash Flow '!D26+'8.Cash Flow '!D27</f>
        <v>3686526.8729400677</v>
      </c>
      <c r="E112" s="186">
        <f>'8.Cash Flow '!E26+'8.Cash Flow '!E27</f>
        <v>3686526.8729400681</v>
      </c>
      <c r="F112" s="186">
        <f>'8.Cash Flow '!F26+'8.Cash Flow '!F27</f>
        <v>3686526.8729400672</v>
      </c>
      <c r="G112" s="186">
        <f>'8.Cash Flow '!G26+'8.Cash Flow '!G27</f>
        <v>3686526.8729400681</v>
      </c>
      <c r="H112" s="186">
        <f>'8.Cash Flow '!H26+'8.Cash Flow '!H27</f>
        <v>0</v>
      </c>
      <c r="I112" s="186">
        <f>'8.Cash Flow '!I26+'8.Cash Flow '!I27</f>
        <v>0</v>
      </c>
    </row>
    <row r="113" spans="2:18" x14ac:dyDescent="0.25">
      <c r="B113" s="47"/>
      <c r="C113" s="47"/>
      <c r="D113" s="47"/>
      <c r="E113" s="47"/>
      <c r="F113" s="47"/>
      <c r="G113" s="47"/>
      <c r="H113" s="47"/>
      <c r="I113" s="47"/>
    </row>
    <row r="114" spans="2:18" x14ac:dyDescent="0.25">
      <c r="B114" s="83" t="s">
        <v>320</v>
      </c>
      <c r="C114" s="191">
        <f>C110/C112</f>
        <v>1.7767559821934416</v>
      </c>
      <c r="D114" s="191">
        <f t="shared" ref="D114:G114" si="12">D110/D112</f>
        <v>2.1234250161808346</v>
      </c>
      <c r="E114" s="191">
        <f t="shared" si="12"/>
        <v>2.3257620020923531</v>
      </c>
      <c r="F114" s="191">
        <f t="shared" si="12"/>
        <v>2.9892644607183416</v>
      </c>
      <c r="G114" s="191">
        <f t="shared" si="12"/>
        <v>3.7142539429833499</v>
      </c>
      <c r="H114" s="191"/>
      <c r="I114" s="191"/>
    </row>
    <row r="116" spans="2:18" x14ac:dyDescent="0.25">
      <c r="B116" s="39" t="s">
        <v>321</v>
      </c>
      <c r="C116" s="192">
        <f>AVERAGE(C114:I114)-0.1</f>
        <v>2.4858922808336641</v>
      </c>
    </row>
    <row r="118" spans="2:18" ht="29.45" customHeight="1" x14ac:dyDescent="0.25">
      <c r="B118" s="430" t="s">
        <v>405</v>
      </c>
      <c r="C118" s="430"/>
      <c r="D118" s="430"/>
      <c r="E118" s="430"/>
      <c r="F118" s="430"/>
      <c r="G118" s="430"/>
      <c r="H118" s="430"/>
      <c r="I118" s="430"/>
      <c r="J118" s="430"/>
    </row>
    <row r="120" spans="2:18" x14ac:dyDescent="0.25">
      <c r="B120" s="456" t="s">
        <v>526</v>
      </c>
      <c r="C120" s="457"/>
      <c r="D120" s="457"/>
      <c r="E120" s="457"/>
      <c r="F120" s="457"/>
      <c r="G120" s="457"/>
      <c r="H120" s="457"/>
      <c r="I120" s="457"/>
      <c r="K120" s="427"/>
      <c r="L120" s="427"/>
      <c r="M120" s="427"/>
      <c r="N120" s="427"/>
      <c r="O120" s="427"/>
      <c r="P120" s="427"/>
      <c r="Q120" s="427"/>
      <c r="R120" s="427"/>
    </row>
    <row r="121" spans="2:18" x14ac:dyDescent="0.25">
      <c r="B121" s="66" t="s">
        <v>332</v>
      </c>
      <c r="C121" s="113" t="s">
        <v>2</v>
      </c>
      <c r="D121" s="113" t="s">
        <v>3</v>
      </c>
      <c r="E121" s="113" t="s">
        <v>4</v>
      </c>
      <c r="F121" s="113" t="s">
        <v>5</v>
      </c>
      <c r="G121" s="113" t="s">
        <v>6</v>
      </c>
      <c r="H121" s="113" t="s">
        <v>166</v>
      </c>
      <c r="I121" s="113" t="s">
        <v>165</v>
      </c>
    </row>
    <row r="122" spans="2:18" x14ac:dyDescent="0.25">
      <c r="B122" s="193" t="str">
        <f>'6.Cons Profit &amp; Loss'!A8</f>
        <v>Facility 1 - Cleaning &amp; Grading</v>
      </c>
      <c r="C122" s="194">
        <f>'6.Cons Profit &amp; Loss'!B8*(1+$M$123)</f>
        <v>19573871.979900002</v>
      </c>
      <c r="D122" s="194">
        <f>'6.Cons Profit &amp; Loss'!C8*(1+$M$123)</f>
        <v>24858790.527879003</v>
      </c>
      <c r="E122" s="194">
        <f>'6.Cons Profit &amp; Loss'!D8*(1+$M$123)</f>
        <v>30458868.310813949</v>
      </c>
      <c r="F122" s="194">
        <f>'6.Cons Profit &amp; Loss'!E8*(1+$M$123)</f>
        <v>36556806.895722702</v>
      </c>
      <c r="G122" s="194">
        <f>'6.Cons Profit &amp; Loss'!F8*(1+$M$123)</f>
        <v>43188392.168345302</v>
      </c>
      <c r="H122" s="194">
        <f>'6.Cons Profit &amp; Loss'!G8*(1+$M$123)</f>
        <v>50391743.950990833</v>
      </c>
      <c r="I122" s="194">
        <f>'6.Cons Profit &amp; Loss'!H8*(1+$M$123)</f>
        <v>58207459.931480065</v>
      </c>
    </row>
    <row r="123" spans="2:18" x14ac:dyDescent="0.25">
      <c r="B123" s="193" t="str">
        <f>'6.Cons Profit &amp; Loss'!A9</f>
        <v>Facility 2 - Processing Unit- Dal Mill</v>
      </c>
      <c r="C123" s="194">
        <f>'6.Cons Profit &amp; Loss'!B9*(1+$M$123)</f>
        <v>38977972.830720007</v>
      </c>
      <c r="D123" s="194">
        <f>'6.Cons Profit &amp; Loss'!C9*(1+$M$123)</f>
        <v>48089168.842175998</v>
      </c>
      <c r="E123" s="194">
        <f>'6.Cons Profit &amp; Loss'!D9*(1+$M$123)</f>
        <v>57715531.413724795</v>
      </c>
      <c r="F123" s="194">
        <f>'6.Cons Profit &amp; Loss'!E9*(1+$M$123)</f>
        <v>68184307.32032305</v>
      </c>
      <c r="G123" s="194">
        <f>'6.Cons Profit &amp; Loss'!F9*(1+$M$123)</f>
        <v>79555671.989046797</v>
      </c>
      <c r="H123" s="194">
        <f>'6.Cons Profit &amp; Loss'!G9*(1+$M$123)</f>
        <v>91893712.356342152</v>
      </c>
      <c r="I123" s="194">
        <f>'6.Cons Profit &amp; Loss'!H9*(1+$M$123)</f>
        <v>105266667.58039439</v>
      </c>
      <c r="L123" s="110" t="s">
        <v>352</v>
      </c>
      <c r="M123" s="195">
        <v>0.05</v>
      </c>
    </row>
    <row r="124" spans="2:18" x14ac:dyDescent="0.25">
      <c r="B124" s="193" t="str">
        <f>'6.Cons Profit &amp; Loss'!A10</f>
        <v>Facility 3 - Warehouse</v>
      </c>
      <c r="C124" s="194">
        <f>'6.Cons Profit &amp; Loss'!B10*(1+$M$123)</f>
        <v>1360800</v>
      </c>
      <c r="D124" s="194">
        <f>'6.Cons Profit &amp; Loss'!C10*(1+$M$123)</f>
        <v>1428840</v>
      </c>
      <c r="E124" s="194">
        <f>'6.Cons Profit &amp; Loss'!D10*(1+$M$123)</f>
        <v>1500282</v>
      </c>
      <c r="F124" s="194">
        <f>'6.Cons Profit &amp; Loss'!E10*(1+$M$123)</f>
        <v>1575296.1000000003</v>
      </c>
      <c r="G124" s="194">
        <f>'6.Cons Profit &amp; Loss'!F10*(1+$M$123)</f>
        <v>1654060.9050000005</v>
      </c>
      <c r="H124" s="194">
        <f>'6.Cons Profit &amp; Loss'!G10*(1+$M$123)</f>
        <v>1736763.9502500007</v>
      </c>
      <c r="I124" s="194">
        <f>'6.Cons Profit &amp; Loss'!H10*(1+$M$123)</f>
        <v>1823602.1477625004</v>
      </c>
      <c r="L124" s="110" t="s">
        <v>353</v>
      </c>
      <c r="M124" s="195">
        <v>0.05</v>
      </c>
    </row>
    <row r="125" spans="2:18" x14ac:dyDescent="0.25">
      <c r="B125" s="193" t="str">
        <f>'6.Cons Profit &amp; Loss'!A11</f>
        <v xml:space="preserve">Facility 4 - Custom Hiring </v>
      </c>
      <c r="C125" s="194">
        <f>'6.Cons Profit &amp; Loss'!B11*(1+$M$123)</f>
        <v>2286900</v>
      </c>
      <c r="D125" s="194">
        <f>'6.Cons Profit &amp; Loss'!C11*(1+$M$123)</f>
        <v>2401245</v>
      </c>
      <c r="E125" s="194">
        <f>'6.Cons Profit &amp; Loss'!D11*(1+$M$123)</f>
        <v>2521307.25</v>
      </c>
      <c r="F125" s="194">
        <f>'6.Cons Profit &amp; Loss'!E11*(1+$M$123)</f>
        <v>2647372.6125000007</v>
      </c>
      <c r="G125" s="194">
        <f>'6.Cons Profit &amp; Loss'!F11*(1+$M$123)</f>
        <v>2779741.2431250005</v>
      </c>
      <c r="H125" s="194">
        <f>'6.Cons Profit &amp; Loss'!G11*(1+$M$123)</f>
        <v>2918728.3052812507</v>
      </c>
      <c r="I125" s="194">
        <f>'6.Cons Profit &amp; Loss'!H11*(1+$M$123)</f>
        <v>3064664.7205453133</v>
      </c>
    </row>
    <row r="126" spans="2:18" x14ac:dyDescent="0.25">
      <c r="B126" s="193" t="str">
        <f>'6.Cons Profit &amp; Loss'!A12</f>
        <v>Facility 5 - Atta Chakki</v>
      </c>
      <c r="C126" s="194">
        <f>'6.Cons Profit &amp; Loss'!B12*(1+$M$123)</f>
        <v>14347511.640000001</v>
      </c>
      <c r="D126" s="194">
        <f>'6.Cons Profit &amp; Loss'!C12*(1+$M$123)</f>
        <v>18077864.666400004</v>
      </c>
      <c r="E126" s="194">
        <f>'6.Cons Profit &amp; Loss'!D12*(1+$M$123)</f>
        <v>22145384.216340002</v>
      </c>
      <c r="F126" s="194">
        <f>'6.Cons Profit &amp; Loss'!E12*(1+$M$123)</f>
        <v>26574461.059608001</v>
      </c>
      <c r="G126" s="194">
        <f>'6.Cons Profit &amp; Loss'!F12*(1+$M$123)</f>
        <v>31391082.126661953</v>
      </c>
      <c r="H126" s="194">
        <f>'6.Cons Profit &amp; Loss'!G12*(1+$M$123)</f>
        <v>36622929.147772282</v>
      </c>
      <c r="I126" s="194">
        <f>'6.Cons Profit &amp; Loss'!H12*(1+$M$123)</f>
        <v>42299483.165676996</v>
      </c>
    </row>
    <row r="127" spans="2:18" x14ac:dyDescent="0.25">
      <c r="B127" s="193" t="str">
        <f>'6.Cons Profit &amp; Loss'!A13</f>
        <v>Facility 6 - Cattle Feed</v>
      </c>
      <c r="C127" s="194">
        <f>'6.Cons Profit &amp; Loss'!B13*(1+$M$123)</f>
        <v>3749642.3002499999</v>
      </c>
      <c r="D127" s="194">
        <f>'6.Cons Profit &amp; Loss'!C13*(1+$M$123)</f>
        <v>4931766.3728024997</v>
      </c>
      <c r="E127" s="194">
        <f>'6.Cons Profit &amp; Loss'!D13*(1+$M$123)</f>
        <v>6048666.4042901248</v>
      </c>
      <c r="F127" s="194">
        <f>'6.Cons Profit &amp; Loss'!E13*(1+$M$123)</f>
        <v>7264927.0229945062</v>
      </c>
      <c r="G127" s="194">
        <f>'6.Cons Profit &amp; Loss'!F13*(1+$M$123)</f>
        <v>8587692.0375586003</v>
      </c>
      <c r="H127" s="194">
        <f>'6.Cons Profit &amp; Loss'!G13*(1+$M$123)</f>
        <v>10024571.236021616</v>
      </c>
      <c r="I127" s="194">
        <f>'6.Cons Profit &amp; Loss'!H13*(1+$M$123)</f>
        <v>11583669.12423704</v>
      </c>
    </row>
    <row r="128" spans="2:18" x14ac:dyDescent="0.25">
      <c r="B128" s="193">
        <f>'6.Cons Profit &amp; Loss'!A14</f>
        <v>0</v>
      </c>
      <c r="C128" s="194">
        <f>'6.Cons Profit &amp; Loss'!B14*(1+$M$123)</f>
        <v>0</v>
      </c>
      <c r="D128" s="194">
        <f>'6.Cons Profit &amp; Loss'!C14*(1+$M$123)</f>
        <v>0</v>
      </c>
      <c r="E128" s="194">
        <f>'6.Cons Profit &amp; Loss'!D14*(1+$M$123)</f>
        <v>0</v>
      </c>
      <c r="F128" s="194">
        <f>'6.Cons Profit &amp; Loss'!E14*(1+$M$123)</f>
        <v>0</v>
      </c>
      <c r="G128" s="194">
        <f>'6.Cons Profit &amp; Loss'!F14*(1+$M$123)</f>
        <v>0</v>
      </c>
      <c r="H128" s="194">
        <f>'6.Cons Profit &amp; Loss'!G14*(1+$M$123)</f>
        <v>0</v>
      </c>
      <c r="I128" s="194">
        <f>'6.Cons Profit &amp; Loss'!H14*(1+$M$123)</f>
        <v>0</v>
      </c>
    </row>
    <row r="129" spans="2:9" x14ac:dyDescent="0.25">
      <c r="B129" s="193" t="s">
        <v>333</v>
      </c>
      <c r="C129" s="194">
        <f>SUM(C122:C128)</f>
        <v>80296698.750870004</v>
      </c>
      <c r="D129" s="194">
        <f t="shared" ref="D129:I129" si="13">SUM(D122:D128)</f>
        <v>99787675.409257501</v>
      </c>
      <c r="E129" s="194">
        <f t="shared" si="13"/>
        <v>120390039.59516887</v>
      </c>
      <c r="F129" s="194">
        <f t="shared" si="13"/>
        <v>142803171.01114827</v>
      </c>
      <c r="G129" s="194">
        <f t="shared" si="13"/>
        <v>167156640.46973765</v>
      </c>
      <c r="H129" s="194">
        <f t="shared" si="13"/>
        <v>193588448.94665813</v>
      </c>
      <c r="I129" s="194">
        <f t="shared" si="13"/>
        <v>222245546.67009631</v>
      </c>
    </row>
    <row r="130" spans="2:9" x14ac:dyDescent="0.25">
      <c r="B130" s="193" t="s">
        <v>334</v>
      </c>
      <c r="C130" s="194"/>
      <c r="D130" s="194"/>
      <c r="E130" s="194"/>
      <c r="F130" s="194"/>
      <c r="G130" s="194"/>
      <c r="H130" s="194"/>
      <c r="I130" s="194"/>
    </row>
    <row r="131" spans="2:9" x14ac:dyDescent="0.25">
      <c r="B131" s="193" t="s">
        <v>335</v>
      </c>
      <c r="C131" s="194">
        <f>'6.Cons Profit &amp; Loss'!B36</f>
        <v>4152669.1364500001</v>
      </c>
      <c r="D131" s="194">
        <f>'6.Cons Profit &amp; Loss'!C36</f>
        <v>4324771.6129000001</v>
      </c>
      <c r="E131" s="194">
        <f>'6.Cons Profit &amp; Loss'!D36</f>
        <v>4506389.08935</v>
      </c>
      <c r="F131" s="194">
        <f>'6.Cons Profit &amp; Loss'!E36</f>
        <v>4697997.3158000009</v>
      </c>
      <c r="G131" s="194">
        <f>'6.Cons Profit &amp; Loss'!F36</f>
        <v>4900095.8297500005</v>
      </c>
      <c r="H131" s="194">
        <f>'6.Cons Profit &amp; Loss'!G36</f>
        <v>5113209.1455750009</v>
      </c>
      <c r="I131" s="194">
        <f>'6.Cons Profit &amp; Loss'!H36</f>
        <v>5337888.0033687511</v>
      </c>
    </row>
    <row r="132" spans="2:9" x14ac:dyDescent="0.25">
      <c r="B132" s="193" t="s">
        <v>295</v>
      </c>
      <c r="C132" s="194">
        <f>'6.Cons Profit &amp; Loss'!B25*(1+M123)</f>
        <v>71068160.112223864</v>
      </c>
      <c r="D132" s="194">
        <f>'6.Cons Profit &amp; Loss'!C25*(1+N123)</f>
        <v>82883046.344426155</v>
      </c>
      <c r="E132" s="194">
        <f>'6.Cons Profit &amp; Loss'!D25*(1+O123)</f>
        <v>101576807.35670112</v>
      </c>
      <c r="F132" s="194">
        <f>'6.Cons Profit &amp; Loss'!E25*(1+P123)</f>
        <v>120285018.93005452</v>
      </c>
      <c r="G132" s="194">
        <f>'6.Cons Profit &amp; Loss'!F25*(1+Q123)</f>
        <v>140604007.64388746</v>
      </c>
      <c r="H132" s="194">
        <f>'6.Cons Profit &amp; Loss'!G25*(1+R123)</f>
        <v>162648386.28069064</v>
      </c>
      <c r="I132" s="194">
        <f>'6.Cons Profit &amp; Loss'!H25*(1+S123)</f>
        <v>187540201.95835233</v>
      </c>
    </row>
    <row r="133" spans="2:9" x14ac:dyDescent="0.25">
      <c r="B133" s="193" t="s">
        <v>336</v>
      </c>
      <c r="C133" s="194">
        <f t="shared" ref="C133:I133" si="14">SUM(C131:C132)</f>
        <v>75220829.248673856</v>
      </c>
      <c r="D133" s="194">
        <f t="shared" si="14"/>
        <v>87207817.957326159</v>
      </c>
      <c r="E133" s="194">
        <f t="shared" si="14"/>
        <v>106083196.44605112</v>
      </c>
      <c r="F133" s="194">
        <f t="shared" si="14"/>
        <v>124983016.24585451</v>
      </c>
      <c r="G133" s="194">
        <f t="shared" si="14"/>
        <v>145504103.47363746</v>
      </c>
      <c r="H133" s="194">
        <f t="shared" si="14"/>
        <v>167761595.42626563</v>
      </c>
      <c r="I133" s="194">
        <f t="shared" si="14"/>
        <v>192878089.96172109</v>
      </c>
    </row>
    <row r="134" spans="2:9" x14ac:dyDescent="0.25">
      <c r="B134" s="196" t="s">
        <v>337</v>
      </c>
      <c r="C134" s="197">
        <f t="shared" ref="C134:I134" si="15">+C129-C133</f>
        <v>5075869.502196148</v>
      </c>
      <c r="D134" s="197">
        <f t="shared" si="15"/>
        <v>12579857.451931342</v>
      </c>
      <c r="E134" s="197">
        <f t="shared" si="15"/>
        <v>14306843.149117753</v>
      </c>
      <c r="F134" s="197">
        <f t="shared" si="15"/>
        <v>17820154.765293762</v>
      </c>
      <c r="G134" s="197">
        <f t="shared" si="15"/>
        <v>21652536.996100187</v>
      </c>
      <c r="H134" s="197">
        <f t="shared" si="15"/>
        <v>25826853.520392507</v>
      </c>
      <c r="I134" s="197">
        <f t="shared" si="15"/>
        <v>29367456.708375216</v>
      </c>
    </row>
    <row r="135" spans="2:9" x14ac:dyDescent="0.25">
      <c r="B135" s="198"/>
      <c r="C135" s="199"/>
      <c r="D135" s="199"/>
      <c r="E135" s="199"/>
      <c r="F135" s="199"/>
      <c r="G135" s="199"/>
      <c r="H135" s="199"/>
      <c r="I135" s="199"/>
    </row>
    <row r="136" spans="2:9" x14ac:dyDescent="0.25">
      <c r="B136" s="66" t="s">
        <v>338</v>
      </c>
      <c r="C136" s="113" t="s">
        <v>2</v>
      </c>
      <c r="D136" s="113" t="s">
        <v>3</v>
      </c>
      <c r="E136" s="113" t="s">
        <v>4</v>
      </c>
      <c r="F136" s="113" t="s">
        <v>5</v>
      </c>
      <c r="G136" s="113" t="s">
        <v>6</v>
      </c>
      <c r="H136" s="113" t="s">
        <v>166</v>
      </c>
      <c r="I136" s="113" t="s">
        <v>165</v>
      </c>
    </row>
    <row r="137" spans="2:9" x14ac:dyDescent="0.25">
      <c r="B137" s="193" t="str">
        <f t="shared" ref="B137:B143" si="16">B122</f>
        <v>Facility 1 - Cleaning &amp; Grading</v>
      </c>
      <c r="C137" s="200">
        <f>'6.Cons Profit &amp; Loss'!B8</f>
        <v>18641782.838000003</v>
      </c>
      <c r="D137" s="200">
        <f>'6.Cons Profit &amp; Loss'!C8</f>
        <v>23675038.597980004</v>
      </c>
      <c r="E137" s="200">
        <f>'6.Cons Profit &amp; Loss'!D8</f>
        <v>29008446.010298997</v>
      </c>
      <c r="F137" s="200">
        <f>'6.Cons Profit &amp; Loss'!E8</f>
        <v>34816006.567354955</v>
      </c>
      <c r="G137" s="200">
        <f>'6.Cons Profit &amp; Loss'!F8</f>
        <v>41131802.065090761</v>
      </c>
      <c r="H137" s="200">
        <f>'6.Cons Profit &amp; Loss'!G8</f>
        <v>47992137.096181743</v>
      </c>
      <c r="I137" s="200">
        <f>'6.Cons Profit &amp; Loss'!H8</f>
        <v>55435676.125219107</v>
      </c>
    </row>
    <row r="138" spans="2:9" x14ac:dyDescent="0.25">
      <c r="B138" s="193" t="str">
        <f t="shared" si="16"/>
        <v>Facility 2 - Processing Unit- Dal Mill</v>
      </c>
      <c r="C138" s="200">
        <f>'6.Cons Profit &amp; Loss'!B9</f>
        <v>37121878.886400007</v>
      </c>
      <c r="D138" s="200">
        <f>'6.Cons Profit &amp; Loss'!C9</f>
        <v>45799208.421119995</v>
      </c>
      <c r="E138" s="200">
        <f>'6.Cons Profit &amp; Loss'!D9</f>
        <v>54967172.774975993</v>
      </c>
      <c r="F138" s="200">
        <f>'6.Cons Profit &amp; Loss'!E9</f>
        <v>64937435.543164805</v>
      </c>
      <c r="G138" s="200">
        <f>'6.Cons Profit &amp; Loss'!F9</f>
        <v>75767306.656235039</v>
      </c>
      <c r="H138" s="200">
        <f>'6.Cons Profit &amp; Loss'!G9</f>
        <v>87517821.291754425</v>
      </c>
      <c r="I138" s="200">
        <f>'6.Cons Profit &amp; Loss'!H9</f>
        <v>100253969.12418513</v>
      </c>
    </row>
    <row r="139" spans="2:9" x14ac:dyDescent="0.25">
      <c r="B139" s="193" t="str">
        <f t="shared" si="16"/>
        <v>Facility 3 - Warehouse</v>
      </c>
      <c r="C139" s="200">
        <f>'6.Cons Profit &amp; Loss'!B10</f>
        <v>1296000</v>
      </c>
      <c r="D139" s="200">
        <f>'6.Cons Profit &amp; Loss'!C10</f>
        <v>1360800</v>
      </c>
      <c r="E139" s="200">
        <f>'6.Cons Profit &amp; Loss'!D10</f>
        <v>1428840</v>
      </c>
      <c r="F139" s="200">
        <f>'6.Cons Profit &amp; Loss'!E10</f>
        <v>1500282.0000000002</v>
      </c>
      <c r="G139" s="200">
        <f>'6.Cons Profit &amp; Loss'!F10</f>
        <v>1575296.1000000003</v>
      </c>
      <c r="H139" s="200">
        <f>'6.Cons Profit &amp; Loss'!G10</f>
        <v>1654060.9050000005</v>
      </c>
      <c r="I139" s="200">
        <f>'6.Cons Profit &amp; Loss'!H10</f>
        <v>1736763.9502500005</v>
      </c>
    </row>
    <row r="140" spans="2:9" x14ac:dyDescent="0.25">
      <c r="B140" s="193" t="str">
        <f t="shared" si="16"/>
        <v xml:space="preserve">Facility 4 - Custom Hiring </v>
      </c>
      <c r="C140" s="200">
        <f>'6.Cons Profit &amp; Loss'!B11</f>
        <v>2178000</v>
      </c>
      <c r="D140" s="200">
        <f>'6.Cons Profit &amp; Loss'!C11</f>
        <v>2286900</v>
      </c>
      <c r="E140" s="200">
        <f>'6.Cons Profit &amp; Loss'!D11</f>
        <v>2401245</v>
      </c>
      <c r="F140" s="200">
        <f>'6.Cons Profit &amp; Loss'!E11</f>
        <v>2521307.2500000005</v>
      </c>
      <c r="G140" s="200">
        <f>'6.Cons Profit &amp; Loss'!F11</f>
        <v>2647372.6125000003</v>
      </c>
      <c r="H140" s="200">
        <f>'6.Cons Profit &amp; Loss'!G11</f>
        <v>2779741.2431250005</v>
      </c>
      <c r="I140" s="200">
        <f>'6.Cons Profit &amp; Loss'!H11</f>
        <v>2918728.3052812507</v>
      </c>
    </row>
    <row r="141" spans="2:9" x14ac:dyDescent="0.25">
      <c r="B141" s="193" t="str">
        <f t="shared" si="16"/>
        <v>Facility 5 - Atta Chakki</v>
      </c>
      <c r="C141" s="200">
        <f>'6.Cons Profit &amp; Loss'!B12</f>
        <v>13664296.800000001</v>
      </c>
      <c r="D141" s="200">
        <f>'6.Cons Profit &amp; Loss'!C12</f>
        <v>17217013.968000002</v>
      </c>
      <c r="E141" s="200">
        <f>'6.Cons Profit &amp; Loss'!D12</f>
        <v>21090842.110800002</v>
      </c>
      <c r="F141" s="200">
        <f>'6.Cons Profit &amp; Loss'!E12</f>
        <v>25309010.532960001</v>
      </c>
      <c r="G141" s="200">
        <f>'6.Cons Profit &amp; Loss'!F12</f>
        <v>29896268.692059003</v>
      </c>
      <c r="H141" s="200">
        <f>'6.Cons Profit &amp; Loss'!G12</f>
        <v>34878980.140735507</v>
      </c>
      <c r="I141" s="200">
        <f>'6.Cons Profit &amp; Loss'!H12</f>
        <v>40285222.062549517</v>
      </c>
    </row>
    <row r="142" spans="2:9" x14ac:dyDescent="0.25">
      <c r="B142" s="193" t="str">
        <f t="shared" si="16"/>
        <v>Facility 6 - Cattle Feed</v>
      </c>
      <c r="C142" s="200">
        <f>'6.Cons Profit &amp; Loss'!B13</f>
        <v>3571087.9049999998</v>
      </c>
      <c r="D142" s="200">
        <f>'6.Cons Profit &amp; Loss'!C13</f>
        <v>4696920.3550499994</v>
      </c>
      <c r="E142" s="200">
        <f>'6.Cons Profit &amp; Loss'!D13</f>
        <v>5760634.6707524993</v>
      </c>
      <c r="F142" s="200">
        <f>'6.Cons Profit &amp; Loss'!E13</f>
        <v>6918978.1171376249</v>
      </c>
      <c r="G142" s="200">
        <f>'6.Cons Profit &amp; Loss'!F13</f>
        <v>8178754.3214843804</v>
      </c>
      <c r="H142" s="200">
        <f>'6.Cons Profit &amp; Loss'!G13</f>
        <v>9547210.7009729668</v>
      </c>
      <c r="I142" s="200">
        <f>'6.Cons Profit &amp; Loss'!H13</f>
        <v>11032065.832606705</v>
      </c>
    </row>
    <row r="143" spans="2:9" x14ac:dyDescent="0.25">
      <c r="B143" s="193">
        <f t="shared" si="16"/>
        <v>0</v>
      </c>
      <c r="C143" s="200">
        <f>'6.Cons Profit &amp; Loss'!B14</f>
        <v>0</v>
      </c>
      <c r="D143" s="200">
        <f>'6.Cons Profit &amp; Loss'!C14</f>
        <v>0</v>
      </c>
      <c r="E143" s="200">
        <f>'6.Cons Profit &amp; Loss'!D14</f>
        <v>0</v>
      </c>
      <c r="F143" s="200">
        <f>'6.Cons Profit &amp; Loss'!E14</f>
        <v>0</v>
      </c>
      <c r="G143" s="200">
        <f>'6.Cons Profit &amp; Loss'!F14</f>
        <v>0</v>
      </c>
      <c r="H143" s="200">
        <f>'6.Cons Profit &amp; Loss'!G14</f>
        <v>0</v>
      </c>
      <c r="I143" s="200">
        <f>'6.Cons Profit &amp; Loss'!H14</f>
        <v>0</v>
      </c>
    </row>
    <row r="144" spans="2:9" x14ac:dyDescent="0.25">
      <c r="B144" s="193" t="s">
        <v>333</v>
      </c>
      <c r="C144" s="200">
        <f>SUM(C137:C143)</f>
        <v>76473046.429400012</v>
      </c>
      <c r="D144" s="200">
        <f t="shared" ref="D144:I144" si="17">SUM(D137:D143)</f>
        <v>95035881.342150003</v>
      </c>
      <c r="E144" s="200">
        <f t="shared" si="17"/>
        <v>114657180.56682748</v>
      </c>
      <c r="F144" s="200">
        <f t="shared" si="17"/>
        <v>136003020.01061738</v>
      </c>
      <c r="G144" s="200">
        <f t="shared" si="17"/>
        <v>159196800.44736919</v>
      </c>
      <c r="H144" s="200">
        <f t="shared" si="17"/>
        <v>184369951.37776965</v>
      </c>
      <c r="I144" s="200">
        <f t="shared" si="17"/>
        <v>211662425.40009174</v>
      </c>
    </row>
    <row r="145" spans="2:15" x14ac:dyDescent="0.25">
      <c r="B145" s="193" t="s">
        <v>334</v>
      </c>
      <c r="C145" s="201"/>
      <c r="D145" s="200"/>
      <c r="E145" s="200"/>
      <c r="F145" s="200"/>
      <c r="G145" s="200"/>
      <c r="H145" s="200"/>
      <c r="I145" s="200"/>
    </row>
    <row r="146" spans="2:15" x14ac:dyDescent="0.25">
      <c r="B146" s="193" t="s">
        <v>335</v>
      </c>
      <c r="C146" s="202">
        <f>'6.Cons Profit &amp; Loss'!B36</f>
        <v>4152669.1364500001</v>
      </c>
      <c r="D146" s="202">
        <f>'6.Cons Profit &amp; Loss'!C36</f>
        <v>4324771.6129000001</v>
      </c>
      <c r="E146" s="202">
        <f>'6.Cons Profit &amp; Loss'!D36</f>
        <v>4506389.08935</v>
      </c>
      <c r="F146" s="202">
        <f>'6.Cons Profit &amp; Loss'!E36</f>
        <v>4697997.3158000009</v>
      </c>
      <c r="G146" s="202">
        <f>'6.Cons Profit &amp; Loss'!F36</f>
        <v>4900095.8297500005</v>
      </c>
      <c r="H146" s="202">
        <f>'6.Cons Profit &amp; Loss'!G36</f>
        <v>5113209.1455750009</v>
      </c>
      <c r="I146" s="202">
        <f>'6.Cons Profit &amp; Loss'!H36</f>
        <v>5337888.0033687511</v>
      </c>
    </row>
    <row r="147" spans="2:15" x14ac:dyDescent="0.25">
      <c r="B147" s="193" t="s">
        <v>295</v>
      </c>
      <c r="C147" s="202">
        <f>'6.Cons Profit &amp; Loss'!B25*(1+$M$124)</f>
        <v>71068160.112223864</v>
      </c>
      <c r="D147" s="202">
        <f>'6.Cons Profit &amp; Loss'!C25*(1+$M$124)</f>
        <v>87027198.661647469</v>
      </c>
      <c r="E147" s="202">
        <f>'6.Cons Profit &amp; Loss'!D25*(1+$M$124)</f>
        <v>106655647.72453618</v>
      </c>
      <c r="F147" s="202">
        <f>'6.Cons Profit &amp; Loss'!E25*(1+$M$124)</f>
        <v>126299269.87655725</v>
      </c>
      <c r="G147" s="202">
        <f>'6.Cons Profit &amp; Loss'!F25*(1+$M$124)</f>
        <v>147634208.02608183</v>
      </c>
      <c r="H147" s="202">
        <f>'6.Cons Profit &amp; Loss'!G25*(1+$M$124)</f>
        <v>170780805.59472519</v>
      </c>
      <c r="I147" s="202">
        <f>'6.Cons Profit &amp; Loss'!H25*(1+$M$124)</f>
        <v>196917212.05626994</v>
      </c>
    </row>
    <row r="148" spans="2:15" x14ac:dyDescent="0.25">
      <c r="B148" s="193" t="s">
        <v>336</v>
      </c>
      <c r="C148" s="202">
        <f t="shared" ref="C148:I148" si="18">SUM(C146:C147)</f>
        <v>75220829.248673856</v>
      </c>
      <c r="D148" s="202">
        <f t="shared" si="18"/>
        <v>91351970.274547473</v>
      </c>
      <c r="E148" s="202">
        <f t="shared" si="18"/>
        <v>111162036.81388618</v>
      </c>
      <c r="F148" s="202">
        <f t="shared" si="18"/>
        <v>130997267.19235724</v>
      </c>
      <c r="G148" s="202">
        <f t="shared" si="18"/>
        <v>152534303.85583183</v>
      </c>
      <c r="H148" s="202">
        <f t="shared" si="18"/>
        <v>175894014.74030018</v>
      </c>
      <c r="I148" s="202">
        <f t="shared" si="18"/>
        <v>202255100.05963871</v>
      </c>
    </row>
    <row r="149" spans="2:15" x14ac:dyDescent="0.25">
      <c r="B149" s="196" t="s">
        <v>337</v>
      </c>
      <c r="C149" s="203">
        <f t="shared" ref="C149:I149" si="19">+C144-C148</f>
        <v>1252217.1807261556</v>
      </c>
      <c r="D149" s="203">
        <f t="shared" si="19"/>
        <v>3683911.0676025301</v>
      </c>
      <c r="E149" s="203">
        <f t="shared" si="19"/>
        <v>3495143.7529412955</v>
      </c>
      <c r="F149" s="203">
        <f t="shared" si="19"/>
        <v>5005752.8182601333</v>
      </c>
      <c r="G149" s="203">
        <f t="shared" si="19"/>
        <v>6662496.5915373564</v>
      </c>
      <c r="H149" s="203">
        <f t="shared" si="19"/>
        <v>8475936.6374694705</v>
      </c>
      <c r="I149" s="203">
        <f t="shared" si="19"/>
        <v>9407325.3404530287</v>
      </c>
      <c r="N149" s="74"/>
      <c r="O149" s="75"/>
    </row>
    <row r="150" spans="2:15" x14ac:dyDescent="0.25">
      <c r="B150" s="198"/>
      <c r="C150" s="199"/>
      <c r="D150" s="199"/>
      <c r="E150" s="199"/>
      <c r="F150" s="199"/>
      <c r="G150" s="199"/>
      <c r="H150" s="199"/>
      <c r="I150" s="199"/>
    </row>
    <row r="151" spans="2:15" x14ac:dyDescent="0.25">
      <c r="B151" s="66" t="s">
        <v>339</v>
      </c>
      <c r="C151" s="113" t="s">
        <v>2</v>
      </c>
      <c r="D151" s="113" t="s">
        <v>3</v>
      </c>
      <c r="E151" s="113" t="s">
        <v>4</v>
      </c>
      <c r="F151" s="113" t="s">
        <v>5</v>
      </c>
      <c r="G151" s="113" t="s">
        <v>6</v>
      </c>
      <c r="H151" s="113" t="s">
        <v>166</v>
      </c>
      <c r="I151" s="113" t="s">
        <v>165</v>
      </c>
    </row>
    <row r="152" spans="2:15" x14ac:dyDescent="0.25">
      <c r="B152" s="193" t="str">
        <f t="shared" ref="B152:B158" si="20">B137</f>
        <v>Facility 1 - Cleaning &amp; Grading</v>
      </c>
      <c r="C152" s="194">
        <f>'6.Cons Profit &amp; Loss'!B8*(1-$M$123)</f>
        <v>17709693.696100004</v>
      </c>
      <c r="D152" s="194">
        <f>'6.Cons Profit &amp; Loss'!C8*(1-$M$123)</f>
        <v>22491286.668081004</v>
      </c>
      <c r="E152" s="194">
        <f>'6.Cons Profit &amp; Loss'!D8*(1-$M$123)</f>
        <v>27558023.709784046</v>
      </c>
      <c r="F152" s="194">
        <f>'6.Cons Profit &amp; Loss'!E8*(1-$M$123)</f>
        <v>33075206.238987204</v>
      </c>
      <c r="G152" s="194">
        <f>'6.Cons Profit &amp; Loss'!F8*(1-$M$123)</f>
        <v>39075211.961836219</v>
      </c>
      <c r="H152" s="194">
        <f>'6.Cons Profit &amp; Loss'!G8*(1-$M$123)</f>
        <v>45592530.241372652</v>
      </c>
      <c r="I152" s="194">
        <f>'6.Cons Profit &amp; Loss'!H8*(1-$M$123)</f>
        <v>52663892.318958148</v>
      </c>
    </row>
    <row r="153" spans="2:15" x14ac:dyDescent="0.25">
      <c r="B153" s="193" t="str">
        <f t="shared" si="20"/>
        <v>Facility 2 - Processing Unit- Dal Mill</v>
      </c>
      <c r="C153" s="194">
        <f>'6.Cons Profit &amp; Loss'!B9*(1-$M$123)</f>
        <v>35265784.942080006</v>
      </c>
      <c r="D153" s="194">
        <f>'6.Cons Profit &amp; Loss'!C9*(1-$M$123)</f>
        <v>43509248.000063993</v>
      </c>
      <c r="E153" s="194">
        <f>'6.Cons Profit &amp; Loss'!D9*(1-$M$123)</f>
        <v>52218814.13622719</v>
      </c>
      <c r="F153" s="194">
        <f>'6.Cons Profit &amp; Loss'!E9*(1-$M$123)</f>
        <v>61690563.766006559</v>
      </c>
      <c r="G153" s="194">
        <f>'6.Cons Profit &amp; Loss'!F9*(1-$M$123)</f>
        <v>71978941.323423281</v>
      </c>
      <c r="H153" s="194">
        <f>'6.Cons Profit &amp; Loss'!G9*(1-$M$123)</f>
        <v>83141930.227166697</v>
      </c>
      <c r="I153" s="194">
        <f>'6.Cons Profit &amp; Loss'!H9*(1-$M$123)</f>
        <v>95241270.667975873</v>
      </c>
    </row>
    <row r="154" spans="2:15" x14ac:dyDescent="0.25">
      <c r="B154" s="193" t="str">
        <f t="shared" si="20"/>
        <v>Facility 3 - Warehouse</v>
      </c>
      <c r="C154" s="194">
        <f>'6.Cons Profit &amp; Loss'!B10*(1-$M$123)</f>
        <v>1231200</v>
      </c>
      <c r="D154" s="194">
        <f>'6.Cons Profit &amp; Loss'!C10*(1-$M$123)</f>
        <v>1292760</v>
      </c>
      <c r="E154" s="194">
        <f>'6.Cons Profit &amp; Loss'!D10*(1-$M$123)</f>
        <v>1357398</v>
      </c>
      <c r="F154" s="194">
        <f>'6.Cons Profit &amp; Loss'!E10*(1-$M$123)</f>
        <v>1425267.9000000001</v>
      </c>
      <c r="G154" s="194">
        <f>'6.Cons Profit &amp; Loss'!F10*(1-$M$123)</f>
        <v>1496531.2950000002</v>
      </c>
      <c r="H154" s="194">
        <f>'6.Cons Profit &amp; Loss'!G10*(1-$M$123)</f>
        <v>1571357.8597500003</v>
      </c>
      <c r="I154" s="194">
        <f>'6.Cons Profit &amp; Loss'!H10*(1-$M$123)</f>
        <v>1649925.7527375005</v>
      </c>
    </row>
    <row r="155" spans="2:15" x14ac:dyDescent="0.25">
      <c r="B155" s="193" t="str">
        <f t="shared" si="20"/>
        <v xml:space="preserve">Facility 4 - Custom Hiring </v>
      </c>
      <c r="C155" s="194">
        <f>'6.Cons Profit &amp; Loss'!B11*(1-$M$123)</f>
        <v>2069100</v>
      </c>
      <c r="D155" s="194">
        <f>'6.Cons Profit &amp; Loss'!C11*(1-$M$123)</f>
        <v>2172555</v>
      </c>
      <c r="E155" s="194">
        <f>'6.Cons Profit &amp; Loss'!D11*(1-$M$123)</f>
        <v>2281182.75</v>
      </c>
      <c r="F155" s="194">
        <f>'6.Cons Profit &amp; Loss'!E11*(1-$M$123)</f>
        <v>2395241.8875000002</v>
      </c>
      <c r="G155" s="194">
        <f>'6.Cons Profit &amp; Loss'!F11*(1-$M$123)</f>
        <v>2515003.9818750001</v>
      </c>
      <c r="H155" s="194">
        <f>'6.Cons Profit &amp; Loss'!G11*(1-$M$123)</f>
        <v>2640754.1809687503</v>
      </c>
      <c r="I155" s="194">
        <f>'6.Cons Profit &amp; Loss'!H11*(1-$M$123)</f>
        <v>2772791.8900171882</v>
      </c>
    </row>
    <row r="156" spans="2:15" x14ac:dyDescent="0.25">
      <c r="B156" s="193" t="str">
        <f t="shared" si="20"/>
        <v>Facility 5 - Atta Chakki</v>
      </c>
      <c r="C156" s="194">
        <f>'6.Cons Profit &amp; Loss'!B12*(1-$M$123)</f>
        <v>12981081.960000001</v>
      </c>
      <c r="D156" s="194">
        <f>'6.Cons Profit &amp; Loss'!C12*(1-$M$123)</f>
        <v>16356163.269600002</v>
      </c>
      <c r="E156" s="194">
        <f>'6.Cons Profit &amp; Loss'!D12*(1-$M$123)</f>
        <v>20036300.005260002</v>
      </c>
      <c r="F156" s="194">
        <f>'6.Cons Profit &amp; Loss'!E12*(1-$M$123)</f>
        <v>24043560.006312001</v>
      </c>
      <c r="G156" s="194">
        <f>'6.Cons Profit &amp; Loss'!F12*(1-$M$123)</f>
        <v>28401455.257456053</v>
      </c>
      <c r="H156" s="194">
        <f>'6.Cons Profit &amp; Loss'!G12*(1-$M$123)</f>
        <v>33135031.133698732</v>
      </c>
      <c r="I156" s="194">
        <f>'6.Cons Profit &amp; Loss'!H12*(1-$M$123)</f>
        <v>38270960.959422037</v>
      </c>
    </row>
    <row r="157" spans="2:15" x14ac:dyDescent="0.25">
      <c r="B157" s="193" t="str">
        <f t="shared" si="20"/>
        <v>Facility 6 - Cattle Feed</v>
      </c>
      <c r="C157" s="194">
        <f>'6.Cons Profit &amp; Loss'!B13*(1-$M$123)</f>
        <v>3392533.5097499997</v>
      </c>
      <c r="D157" s="194">
        <f>'6.Cons Profit &amp; Loss'!C13*(1-$M$123)</f>
        <v>4462074.3372974992</v>
      </c>
      <c r="E157" s="194">
        <f>'6.Cons Profit &amp; Loss'!D13*(1-$M$123)</f>
        <v>5472602.9372148737</v>
      </c>
      <c r="F157" s="194">
        <f>'6.Cons Profit &amp; Loss'!E13*(1-$M$123)</f>
        <v>6573029.2112807436</v>
      </c>
      <c r="G157" s="194">
        <f>'6.Cons Profit &amp; Loss'!F13*(1-$M$123)</f>
        <v>7769816.6054101614</v>
      </c>
      <c r="H157" s="194">
        <f>'6.Cons Profit &amp; Loss'!G13*(1-$M$123)</f>
        <v>9069850.1659243181</v>
      </c>
      <c r="I157" s="194">
        <f>'6.Cons Profit &amp; Loss'!H13*(1-$M$123)</f>
        <v>10480462.54097637</v>
      </c>
    </row>
    <row r="158" spans="2:15" x14ac:dyDescent="0.25">
      <c r="B158" s="193">
        <f t="shared" si="20"/>
        <v>0</v>
      </c>
      <c r="C158" s="194">
        <f>'6.Cons Profit &amp; Loss'!B14*(1-$M$123)</f>
        <v>0</v>
      </c>
      <c r="D158" s="194">
        <f>'6.Cons Profit &amp; Loss'!C14*(1-$M$123)</f>
        <v>0</v>
      </c>
      <c r="E158" s="194">
        <f>'6.Cons Profit &amp; Loss'!D14*(1-$M$123)</f>
        <v>0</v>
      </c>
      <c r="F158" s="194">
        <f>'6.Cons Profit &amp; Loss'!E14*(1-$M$123)</f>
        <v>0</v>
      </c>
      <c r="G158" s="194">
        <f>'6.Cons Profit &amp; Loss'!F14*(1-$M$123)</f>
        <v>0</v>
      </c>
      <c r="H158" s="194">
        <f>'6.Cons Profit &amp; Loss'!G14*(1-$M$123)</f>
        <v>0</v>
      </c>
      <c r="I158" s="194">
        <f>'6.Cons Profit &amp; Loss'!H14*(1-$M$123)</f>
        <v>0</v>
      </c>
    </row>
    <row r="159" spans="2:15" x14ac:dyDescent="0.25">
      <c r="B159" s="193" t="s">
        <v>333</v>
      </c>
      <c r="C159" s="194">
        <f>SUM(C152:C158)</f>
        <v>72649394.107930005</v>
      </c>
      <c r="D159" s="194">
        <f t="shared" ref="D159:I159" si="21">SUM(D152:D158)</f>
        <v>90284087.275042504</v>
      </c>
      <c r="E159" s="194">
        <f t="shared" si="21"/>
        <v>108924321.53848612</v>
      </c>
      <c r="F159" s="194">
        <f t="shared" si="21"/>
        <v>129202869.01008652</v>
      </c>
      <c r="G159" s="194">
        <f t="shared" si="21"/>
        <v>151236960.42500073</v>
      </c>
      <c r="H159" s="194">
        <f t="shared" si="21"/>
        <v>175151453.80888116</v>
      </c>
      <c r="I159" s="194">
        <f t="shared" si="21"/>
        <v>201079304.13008711</v>
      </c>
    </row>
    <row r="160" spans="2:15" x14ac:dyDescent="0.25">
      <c r="B160" s="193" t="s">
        <v>334</v>
      </c>
      <c r="C160" s="194"/>
      <c r="D160" s="194"/>
      <c r="E160" s="194"/>
      <c r="F160" s="194"/>
      <c r="G160" s="194"/>
      <c r="H160" s="194"/>
      <c r="I160" s="194"/>
    </row>
    <row r="161" spans="2:9" x14ac:dyDescent="0.25">
      <c r="B161" s="193" t="s">
        <v>335</v>
      </c>
      <c r="C161" s="194">
        <f>'6.Cons Profit &amp; Loss'!B36</f>
        <v>4152669.1364500001</v>
      </c>
      <c r="D161" s="194">
        <f>'6.Cons Profit &amp; Loss'!C36</f>
        <v>4324771.6129000001</v>
      </c>
      <c r="E161" s="194">
        <f>'6.Cons Profit &amp; Loss'!D36</f>
        <v>4506389.08935</v>
      </c>
      <c r="F161" s="194">
        <f>'6.Cons Profit &amp; Loss'!E36</f>
        <v>4697997.3158000009</v>
      </c>
      <c r="G161" s="194">
        <f>'6.Cons Profit &amp; Loss'!F36</f>
        <v>4900095.8297500005</v>
      </c>
      <c r="H161" s="194">
        <f>'6.Cons Profit &amp; Loss'!G36</f>
        <v>5113209.1455750009</v>
      </c>
      <c r="I161" s="194">
        <f>'6.Cons Profit &amp; Loss'!H36</f>
        <v>5337888.0033687511</v>
      </c>
    </row>
    <row r="162" spans="2:9" x14ac:dyDescent="0.25">
      <c r="B162" s="193" t="s">
        <v>295</v>
      </c>
      <c r="C162" s="194">
        <f>'6.Cons Profit &amp; Loss'!B25*(1-$M$123)</f>
        <v>64299763.911059678</v>
      </c>
      <c r="D162" s="194">
        <f>'6.Cons Profit &amp; Loss'!C25*(1-$M$123)</f>
        <v>78738894.027204841</v>
      </c>
      <c r="E162" s="194">
        <f>'6.Cons Profit &amp; Loss'!D25*(1-$M$123)</f>
        <v>96497966.988866061</v>
      </c>
      <c r="F162" s="194">
        <f>'6.Cons Profit &amp; Loss'!E25*(1-$M$123)</f>
        <v>114270767.98355179</v>
      </c>
      <c r="G162" s="194">
        <f>'6.Cons Profit &amp; Loss'!F25*(1-$M$123)</f>
        <v>133573807.26169308</v>
      </c>
      <c r="H162" s="194">
        <f>'6.Cons Profit &amp; Loss'!G25*(1-$M$123)</f>
        <v>154515966.96665609</v>
      </c>
      <c r="I162" s="194">
        <f>'6.Cons Profit &amp; Loss'!H25*(1-$M$123)</f>
        <v>178163191.86043471</v>
      </c>
    </row>
    <row r="163" spans="2:9" x14ac:dyDescent="0.25">
      <c r="B163" s="193" t="s">
        <v>336</v>
      </c>
      <c r="C163" s="194">
        <f t="shared" ref="C163:I163" si="22">SUM(C161:C162)</f>
        <v>68452433.04750967</v>
      </c>
      <c r="D163" s="194">
        <f t="shared" si="22"/>
        <v>83063665.640104845</v>
      </c>
      <c r="E163" s="194">
        <f t="shared" si="22"/>
        <v>101004356.07821606</v>
      </c>
      <c r="F163" s="194">
        <f t="shared" si="22"/>
        <v>118968765.29935178</v>
      </c>
      <c r="G163" s="194">
        <f t="shared" si="22"/>
        <v>138473903.09144306</v>
      </c>
      <c r="H163" s="194">
        <f t="shared" si="22"/>
        <v>159629176.11223108</v>
      </c>
      <c r="I163" s="194">
        <f t="shared" si="22"/>
        <v>183501079.86380348</v>
      </c>
    </row>
    <row r="164" spans="2:9" x14ac:dyDescent="0.25">
      <c r="B164" s="196" t="s">
        <v>337</v>
      </c>
      <c r="C164" s="197">
        <f t="shared" ref="C164:I164" si="23">+C159-C163</f>
        <v>4196961.0604203343</v>
      </c>
      <c r="D164" s="197">
        <f t="shared" si="23"/>
        <v>7220421.6349376589</v>
      </c>
      <c r="E164" s="197">
        <f t="shared" si="23"/>
        <v>7919965.4602700621</v>
      </c>
      <c r="F164" s="197">
        <f t="shared" si="23"/>
        <v>10234103.71073474</v>
      </c>
      <c r="G164" s="197">
        <f t="shared" si="23"/>
        <v>12763057.333557665</v>
      </c>
      <c r="H164" s="197">
        <f t="shared" si="23"/>
        <v>15522277.696650088</v>
      </c>
      <c r="I164" s="197">
        <f t="shared" si="23"/>
        <v>17578224.266283631</v>
      </c>
    </row>
    <row r="165" spans="2:9" x14ac:dyDescent="0.25">
      <c r="B165" s="158"/>
      <c r="C165" s="199"/>
      <c r="D165" s="199"/>
      <c r="E165" s="199"/>
      <c r="F165" s="199"/>
      <c r="G165" s="199"/>
      <c r="H165" s="199"/>
      <c r="I165" s="199"/>
    </row>
    <row r="166" spans="2:9" x14ac:dyDescent="0.25">
      <c r="B166" s="66" t="s">
        <v>340</v>
      </c>
      <c r="C166" s="113" t="s">
        <v>2</v>
      </c>
      <c r="D166" s="113" t="s">
        <v>3</v>
      </c>
      <c r="E166" s="113" t="s">
        <v>4</v>
      </c>
      <c r="F166" s="113" t="s">
        <v>5</v>
      </c>
      <c r="G166" s="113" t="s">
        <v>6</v>
      </c>
      <c r="H166" s="113" t="s">
        <v>166</v>
      </c>
      <c r="I166" s="113" t="s">
        <v>165</v>
      </c>
    </row>
    <row r="167" spans="2:9" x14ac:dyDescent="0.25">
      <c r="B167" s="193" t="str">
        <f t="shared" ref="B167:B173" si="24">B152</f>
        <v>Facility 1 - Cleaning &amp; Grading</v>
      </c>
      <c r="C167" s="200">
        <f>'6.Cons Profit &amp; Loss'!B8</f>
        <v>18641782.838000003</v>
      </c>
      <c r="D167" s="200">
        <f>'6.Cons Profit &amp; Loss'!C8</f>
        <v>23675038.597980004</v>
      </c>
      <c r="E167" s="200">
        <f>'6.Cons Profit &amp; Loss'!D8</f>
        <v>29008446.010298997</v>
      </c>
      <c r="F167" s="200">
        <f>'6.Cons Profit &amp; Loss'!E8</f>
        <v>34816006.567354955</v>
      </c>
      <c r="G167" s="200">
        <f>'6.Cons Profit &amp; Loss'!F8</f>
        <v>41131802.065090761</v>
      </c>
      <c r="H167" s="200">
        <f>'6.Cons Profit &amp; Loss'!G8</f>
        <v>47992137.096181743</v>
      </c>
      <c r="I167" s="200">
        <f>'6.Cons Profit &amp; Loss'!H8</f>
        <v>55435676.125219107</v>
      </c>
    </row>
    <row r="168" spans="2:9" x14ac:dyDescent="0.25">
      <c r="B168" s="193" t="str">
        <f t="shared" si="24"/>
        <v>Facility 2 - Processing Unit- Dal Mill</v>
      </c>
      <c r="C168" s="200">
        <f>'6.Cons Profit &amp; Loss'!B9</f>
        <v>37121878.886400007</v>
      </c>
      <c r="D168" s="200">
        <f>'6.Cons Profit &amp; Loss'!C9</f>
        <v>45799208.421119995</v>
      </c>
      <c r="E168" s="200">
        <f>'6.Cons Profit &amp; Loss'!D9</f>
        <v>54967172.774975993</v>
      </c>
      <c r="F168" s="200">
        <f>'6.Cons Profit &amp; Loss'!E9</f>
        <v>64937435.543164805</v>
      </c>
      <c r="G168" s="200">
        <f>'6.Cons Profit &amp; Loss'!F9</f>
        <v>75767306.656235039</v>
      </c>
      <c r="H168" s="200">
        <f>'6.Cons Profit &amp; Loss'!G9</f>
        <v>87517821.291754425</v>
      </c>
      <c r="I168" s="200">
        <f>'6.Cons Profit &amp; Loss'!H9</f>
        <v>100253969.12418513</v>
      </c>
    </row>
    <row r="169" spans="2:9" x14ac:dyDescent="0.25">
      <c r="B169" s="193" t="str">
        <f t="shared" si="24"/>
        <v>Facility 3 - Warehouse</v>
      </c>
      <c r="C169" s="200">
        <f>'6.Cons Profit &amp; Loss'!B10</f>
        <v>1296000</v>
      </c>
      <c r="D169" s="200">
        <f>'6.Cons Profit &amp; Loss'!C10</f>
        <v>1360800</v>
      </c>
      <c r="E169" s="200">
        <f>'6.Cons Profit &amp; Loss'!D10</f>
        <v>1428840</v>
      </c>
      <c r="F169" s="200">
        <f>'6.Cons Profit &amp; Loss'!E10</f>
        <v>1500282.0000000002</v>
      </c>
      <c r="G169" s="200">
        <f>'6.Cons Profit &amp; Loss'!F10</f>
        <v>1575296.1000000003</v>
      </c>
      <c r="H169" s="200">
        <f>'6.Cons Profit &amp; Loss'!G10</f>
        <v>1654060.9050000005</v>
      </c>
      <c r="I169" s="200">
        <f>'6.Cons Profit &amp; Loss'!H10</f>
        <v>1736763.9502500005</v>
      </c>
    </row>
    <row r="170" spans="2:9" x14ac:dyDescent="0.25">
      <c r="B170" s="193" t="str">
        <f t="shared" si="24"/>
        <v xml:space="preserve">Facility 4 - Custom Hiring </v>
      </c>
      <c r="C170" s="200">
        <f>'6.Cons Profit &amp; Loss'!B11</f>
        <v>2178000</v>
      </c>
      <c r="D170" s="200">
        <f>'6.Cons Profit &amp; Loss'!C11</f>
        <v>2286900</v>
      </c>
      <c r="E170" s="200">
        <f>'6.Cons Profit &amp; Loss'!D11</f>
        <v>2401245</v>
      </c>
      <c r="F170" s="200">
        <f>'6.Cons Profit &amp; Loss'!E11</f>
        <v>2521307.2500000005</v>
      </c>
      <c r="G170" s="200">
        <f>'6.Cons Profit &amp; Loss'!F11</f>
        <v>2647372.6125000003</v>
      </c>
      <c r="H170" s="200">
        <f>'6.Cons Profit &amp; Loss'!G11</f>
        <v>2779741.2431250005</v>
      </c>
      <c r="I170" s="200">
        <f>'6.Cons Profit &amp; Loss'!H11</f>
        <v>2918728.3052812507</v>
      </c>
    </row>
    <row r="171" spans="2:9" x14ac:dyDescent="0.25">
      <c r="B171" s="193" t="str">
        <f t="shared" si="24"/>
        <v>Facility 5 - Atta Chakki</v>
      </c>
      <c r="C171" s="200">
        <f>'6.Cons Profit &amp; Loss'!B12</f>
        <v>13664296.800000001</v>
      </c>
      <c r="D171" s="200">
        <f>'6.Cons Profit &amp; Loss'!C12</f>
        <v>17217013.968000002</v>
      </c>
      <c r="E171" s="200">
        <f>'6.Cons Profit &amp; Loss'!D12</f>
        <v>21090842.110800002</v>
      </c>
      <c r="F171" s="200">
        <f>'6.Cons Profit &amp; Loss'!E12</f>
        <v>25309010.532960001</v>
      </c>
      <c r="G171" s="200">
        <f>'6.Cons Profit &amp; Loss'!F12</f>
        <v>29896268.692059003</v>
      </c>
      <c r="H171" s="200">
        <f>'6.Cons Profit &amp; Loss'!G12</f>
        <v>34878980.140735507</v>
      </c>
      <c r="I171" s="200">
        <f>'6.Cons Profit &amp; Loss'!H12</f>
        <v>40285222.062549517</v>
      </c>
    </row>
    <row r="172" spans="2:9" x14ac:dyDescent="0.25">
      <c r="B172" s="193" t="str">
        <f t="shared" si="24"/>
        <v>Facility 6 - Cattle Feed</v>
      </c>
      <c r="C172" s="200">
        <f>'6.Cons Profit &amp; Loss'!B13</f>
        <v>3571087.9049999998</v>
      </c>
      <c r="D172" s="200">
        <f>'6.Cons Profit &amp; Loss'!C13</f>
        <v>4696920.3550499994</v>
      </c>
      <c r="E172" s="200">
        <f>'6.Cons Profit &amp; Loss'!D13</f>
        <v>5760634.6707524993</v>
      </c>
      <c r="F172" s="200">
        <f>'6.Cons Profit &amp; Loss'!E13</f>
        <v>6918978.1171376249</v>
      </c>
      <c r="G172" s="200">
        <f>'6.Cons Profit &amp; Loss'!F13</f>
        <v>8178754.3214843804</v>
      </c>
      <c r="H172" s="200">
        <f>'6.Cons Profit &amp; Loss'!G13</f>
        <v>9547210.7009729668</v>
      </c>
      <c r="I172" s="200">
        <f>'6.Cons Profit &amp; Loss'!H13</f>
        <v>11032065.832606705</v>
      </c>
    </row>
    <row r="173" spans="2:9" x14ac:dyDescent="0.25">
      <c r="B173" s="193">
        <f t="shared" si="24"/>
        <v>0</v>
      </c>
      <c r="C173" s="200">
        <f>'6.Cons Profit &amp; Loss'!B14</f>
        <v>0</v>
      </c>
      <c r="D173" s="200">
        <f>'6.Cons Profit &amp; Loss'!C14</f>
        <v>0</v>
      </c>
      <c r="E173" s="200">
        <f>'6.Cons Profit &amp; Loss'!D14</f>
        <v>0</v>
      </c>
      <c r="F173" s="200">
        <f>'6.Cons Profit &amp; Loss'!E14</f>
        <v>0</v>
      </c>
      <c r="G173" s="200">
        <f>'6.Cons Profit &amp; Loss'!F14</f>
        <v>0</v>
      </c>
      <c r="H173" s="200">
        <f>'6.Cons Profit &amp; Loss'!G14</f>
        <v>0</v>
      </c>
      <c r="I173" s="200">
        <f>'6.Cons Profit &amp; Loss'!H14</f>
        <v>0</v>
      </c>
    </row>
    <row r="174" spans="2:9" x14ac:dyDescent="0.25">
      <c r="B174" s="193" t="s">
        <v>333</v>
      </c>
      <c r="C174" s="200">
        <f>SUM(C167:C173)</f>
        <v>76473046.429400012</v>
      </c>
      <c r="D174" s="200">
        <f t="shared" ref="D174:I174" si="25">SUM(D167:D173)</f>
        <v>95035881.342150003</v>
      </c>
      <c r="E174" s="200">
        <f t="shared" si="25"/>
        <v>114657180.56682748</v>
      </c>
      <c r="F174" s="200">
        <f t="shared" si="25"/>
        <v>136003020.01061738</v>
      </c>
      <c r="G174" s="200">
        <f t="shared" si="25"/>
        <v>159196800.44736919</v>
      </c>
      <c r="H174" s="200">
        <f t="shared" si="25"/>
        <v>184369951.37776965</v>
      </c>
      <c r="I174" s="200">
        <f t="shared" si="25"/>
        <v>211662425.40009174</v>
      </c>
    </row>
    <row r="175" spans="2:9" x14ac:dyDescent="0.25">
      <c r="B175" s="193" t="s">
        <v>334</v>
      </c>
      <c r="C175" s="200"/>
      <c r="D175" s="200"/>
      <c r="E175" s="200"/>
      <c r="F175" s="200"/>
      <c r="G175" s="200"/>
      <c r="H175" s="200"/>
      <c r="I175" s="200"/>
    </row>
    <row r="176" spans="2:9" x14ac:dyDescent="0.25">
      <c r="B176" s="193" t="s">
        <v>335</v>
      </c>
      <c r="C176" s="200">
        <f>'6.Cons Profit &amp; Loss'!B36</f>
        <v>4152669.1364500001</v>
      </c>
      <c r="D176" s="200">
        <f>'6.Cons Profit &amp; Loss'!C36</f>
        <v>4324771.6129000001</v>
      </c>
      <c r="E176" s="200">
        <f>'6.Cons Profit &amp; Loss'!D36</f>
        <v>4506389.08935</v>
      </c>
      <c r="F176" s="200">
        <f>'6.Cons Profit &amp; Loss'!E36</f>
        <v>4697997.3158000009</v>
      </c>
      <c r="G176" s="200">
        <f>'6.Cons Profit &amp; Loss'!F36</f>
        <v>4900095.8297500005</v>
      </c>
      <c r="H176" s="200">
        <f>'6.Cons Profit &amp; Loss'!G36</f>
        <v>5113209.1455750009</v>
      </c>
      <c r="I176" s="200">
        <f>'6.Cons Profit &amp; Loss'!H36</f>
        <v>5337888.0033687511</v>
      </c>
    </row>
    <row r="177" spans="2:13" x14ac:dyDescent="0.25">
      <c r="B177" s="193" t="s">
        <v>295</v>
      </c>
      <c r="C177" s="200">
        <f>'6.Cons Profit &amp; Loss'!B25*(1-$M$124)</f>
        <v>64299763.911059678</v>
      </c>
      <c r="D177" s="200">
        <f>'6.Cons Profit &amp; Loss'!C25*(1-$M$124)</f>
        <v>78738894.027204841</v>
      </c>
      <c r="E177" s="200">
        <f>'6.Cons Profit &amp; Loss'!D25*(1-$M$124)</f>
        <v>96497966.988866061</v>
      </c>
      <c r="F177" s="200">
        <f>'6.Cons Profit &amp; Loss'!E25*(1-$M$124)</f>
        <v>114270767.98355179</v>
      </c>
      <c r="G177" s="200">
        <f>'6.Cons Profit &amp; Loss'!F25*(1-$M$124)</f>
        <v>133573807.26169308</v>
      </c>
      <c r="H177" s="200">
        <f>'6.Cons Profit &amp; Loss'!G25*(1-$M$124)</f>
        <v>154515966.96665609</v>
      </c>
      <c r="I177" s="200">
        <f>'6.Cons Profit &amp; Loss'!H25*(1-$M$124)</f>
        <v>178163191.86043471</v>
      </c>
    </row>
    <row r="178" spans="2:13" x14ac:dyDescent="0.25">
      <c r="B178" s="193" t="s">
        <v>336</v>
      </c>
      <c r="C178" s="200">
        <f t="shared" ref="C178:I178" si="26">SUM(C176:C177)</f>
        <v>68452433.04750967</v>
      </c>
      <c r="D178" s="200">
        <f t="shared" si="26"/>
        <v>83063665.640104845</v>
      </c>
      <c r="E178" s="200">
        <f t="shared" si="26"/>
        <v>101004356.07821606</v>
      </c>
      <c r="F178" s="200">
        <f t="shared" si="26"/>
        <v>118968765.29935178</v>
      </c>
      <c r="G178" s="200">
        <f t="shared" si="26"/>
        <v>138473903.09144306</v>
      </c>
      <c r="H178" s="200">
        <f t="shared" si="26"/>
        <v>159629176.11223108</v>
      </c>
      <c r="I178" s="200">
        <f t="shared" si="26"/>
        <v>183501079.86380348</v>
      </c>
    </row>
    <row r="179" spans="2:13" x14ac:dyDescent="0.25">
      <c r="B179" s="196" t="s">
        <v>337</v>
      </c>
      <c r="C179" s="204">
        <f t="shared" ref="C179:I179" si="27">+C174-C178</f>
        <v>8020613.3818903416</v>
      </c>
      <c r="D179" s="204">
        <f t="shared" si="27"/>
        <v>11972215.702045158</v>
      </c>
      <c r="E179" s="204">
        <f t="shared" si="27"/>
        <v>13652824.488611415</v>
      </c>
      <c r="F179" s="204">
        <f t="shared" si="27"/>
        <v>17034254.711265594</v>
      </c>
      <c r="G179" s="204">
        <f t="shared" si="27"/>
        <v>20722897.355926126</v>
      </c>
      <c r="H179" s="204">
        <f t="shared" si="27"/>
        <v>24740775.265538573</v>
      </c>
      <c r="I179" s="204">
        <f t="shared" si="27"/>
        <v>28161345.536288261</v>
      </c>
    </row>
    <row r="181" spans="2:13" ht="41.1" customHeight="1" x14ac:dyDescent="0.25">
      <c r="B181" s="455" t="s">
        <v>499</v>
      </c>
      <c r="C181" s="455"/>
      <c r="D181" s="455"/>
      <c r="E181" s="455"/>
      <c r="F181" s="455"/>
      <c r="G181" s="455"/>
      <c r="H181" s="455"/>
      <c r="I181" s="455"/>
      <c r="J181" s="205"/>
      <c r="K181" s="205"/>
      <c r="L181" s="205"/>
      <c r="M181" s="205"/>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abSelected="1" topLeftCell="A10" workbookViewId="0">
      <selection activeCell="K25" sqref="K25"/>
    </sheetView>
  </sheetViews>
  <sheetFormatPr defaultColWidth="8.7109375" defaultRowHeight="15" x14ac:dyDescent="0.25"/>
  <cols>
    <col min="1" max="1" width="49.140625" style="39" bestFit="1" customWidth="1"/>
    <col min="2" max="2" width="23.28515625" style="39" bestFit="1" customWidth="1"/>
    <col min="3" max="8" width="13.42578125" style="39" customWidth="1"/>
    <col min="9" max="9" width="11.42578125" style="39" bestFit="1" customWidth="1"/>
    <col min="10" max="10" width="9.140625" style="39" bestFit="1" customWidth="1"/>
    <col min="11" max="16384" width="8.7109375" style="39"/>
  </cols>
  <sheetData>
    <row r="1" spans="1:26" ht="14.45" x14ac:dyDescent="0.35">
      <c r="A1" s="427" t="s">
        <v>556</v>
      </c>
      <c r="B1" s="427"/>
      <c r="C1" s="427"/>
      <c r="D1" s="427"/>
      <c r="E1" s="427"/>
      <c r="F1" s="427"/>
      <c r="G1" s="427"/>
      <c r="H1" s="427"/>
    </row>
    <row r="2" spans="1:26" ht="14.45" x14ac:dyDescent="0.35">
      <c r="B2" s="74"/>
    </row>
    <row r="3" spans="1:26" ht="14.45" x14ac:dyDescent="0.35">
      <c r="A3" s="436" t="s">
        <v>527</v>
      </c>
      <c r="B3" s="436"/>
    </row>
    <row r="4" spans="1:26" ht="14.45" x14ac:dyDescent="0.35">
      <c r="A4" s="66" t="s">
        <v>0</v>
      </c>
      <c r="B4" s="113" t="s">
        <v>367</v>
      </c>
      <c r="C4" s="139"/>
      <c r="D4" s="139"/>
      <c r="E4" s="139"/>
      <c r="F4" s="139"/>
      <c r="G4" s="139"/>
      <c r="H4" s="139"/>
    </row>
    <row r="5" spans="1:26" ht="14.45" x14ac:dyDescent="0.35">
      <c r="A5" s="47" t="s">
        <v>469</v>
      </c>
      <c r="B5" s="85">
        <v>1309</v>
      </c>
      <c r="C5" s="140"/>
      <c r="D5" s="141">
        <v>1309</v>
      </c>
      <c r="E5" s="141"/>
      <c r="F5" s="141"/>
      <c r="G5" s="141"/>
      <c r="H5" s="141"/>
    </row>
    <row r="6" spans="1:26" ht="14.45" x14ac:dyDescent="0.35">
      <c r="A6" s="47" t="s">
        <v>470</v>
      </c>
      <c r="B6" s="85">
        <v>91</v>
      </c>
      <c r="C6" s="140"/>
      <c r="D6" s="141"/>
      <c r="E6" s="141"/>
      <c r="F6" s="141"/>
      <c r="G6" s="141"/>
      <c r="H6" s="141"/>
    </row>
    <row r="7" spans="1:26" ht="14.45" x14ac:dyDescent="0.35">
      <c r="A7" s="78" t="s">
        <v>1</v>
      </c>
      <c r="B7" s="83">
        <f>B5+B6</f>
        <v>1400</v>
      </c>
      <c r="C7" s="142"/>
      <c r="D7" s="143"/>
      <c r="E7" s="143"/>
      <c r="F7" s="143"/>
      <c r="G7" s="143"/>
      <c r="H7" s="143"/>
    </row>
    <row r="8" spans="1:26" ht="14.45" x14ac:dyDescent="0.35">
      <c r="A8" s="78" t="s">
        <v>471</v>
      </c>
      <c r="B8" s="86">
        <v>4</v>
      </c>
      <c r="C8" s="142"/>
      <c r="D8" s="142"/>
      <c r="E8" s="142"/>
      <c r="F8" s="142"/>
      <c r="G8" s="142"/>
      <c r="H8" s="142"/>
    </row>
    <row r="9" spans="1:26" ht="14.45" x14ac:dyDescent="0.35">
      <c r="A9" s="78" t="s">
        <v>476</v>
      </c>
      <c r="B9" s="83">
        <f>B7*B8</f>
        <v>5600</v>
      </c>
      <c r="C9" s="143"/>
      <c r="D9" s="143"/>
      <c r="E9" s="143"/>
      <c r="F9" s="143"/>
      <c r="G9" s="143"/>
      <c r="H9" s="143"/>
    </row>
    <row r="10" spans="1:26" ht="14.45" x14ac:dyDescent="0.35">
      <c r="J10" s="39" t="s">
        <v>430</v>
      </c>
      <c r="O10" s="39" t="s">
        <v>426</v>
      </c>
      <c r="U10" s="39" t="s">
        <v>427</v>
      </c>
      <c r="Y10" s="39" t="s">
        <v>428</v>
      </c>
      <c r="Z10" s="39" t="s">
        <v>429</v>
      </c>
    </row>
    <row r="11" spans="1:26" ht="14.45" x14ac:dyDescent="0.35">
      <c r="A11" s="427" t="s">
        <v>528</v>
      </c>
      <c r="B11" s="427"/>
      <c r="C11" s="427"/>
      <c r="D11" s="427"/>
      <c r="E11" s="427"/>
      <c r="F11" s="427"/>
      <c r="G11" s="427"/>
      <c r="H11" s="427"/>
      <c r="I11" s="144"/>
      <c r="J11" s="144"/>
      <c r="K11" s="144"/>
      <c r="L11" s="144"/>
      <c r="M11" s="144"/>
      <c r="N11" s="144"/>
      <c r="O11" s="144"/>
      <c r="P11" s="144"/>
    </row>
    <row r="12" spans="1:26" ht="14.45" x14ac:dyDescent="0.35">
      <c r="J12" s="145">
        <v>0.65</v>
      </c>
      <c r="K12" s="146">
        <f>J12+0.05</f>
        <v>0.70000000000000007</v>
      </c>
      <c r="L12" s="146">
        <f t="shared" ref="L12:N12" si="0">K12+0.05</f>
        <v>0.75000000000000011</v>
      </c>
      <c r="M12" s="146">
        <f t="shared" si="0"/>
        <v>0.80000000000000016</v>
      </c>
      <c r="N12" s="146">
        <f t="shared" si="0"/>
        <v>0.8500000000000002</v>
      </c>
      <c r="O12" s="145">
        <v>0.4</v>
      </c>
      <c r="P12" s="145">
        <f>O12+0.05</f>
        <v>0.45</v>
      </c>
      <c r="Q12" s="145">
        <f t="shared" ref="Q12:T12" si="1">P12+0.05</f>
        <v>0.5</v>
      </c>
      <c r="R12" s="145">
        <f t="shared" si="1"/>
        <v>0.55000000000000004</v>
      </c>
      <c r="S12" s="145">
        <f t="shared" si="1"/>
        <v>0.60000000000000009</v>
      </c>
      <c r="T12" s="145">
        <f t="shared" si="1"/>
        <v>0.65000000000000013</v>
      </c>
      <c r="U12" s="145">
        <v>0.1</v>
      </c>
      <c r="V12" s="75">
        <f>U12+0.05</f>
        <v>0.15000000000000002</v>
      </c>
      <c r="W12" s="75">
        <f t="shared" ref="W12:X12" si="2">V12+0.05</f>
        <v>0.2</v>
      </c>
      <c r="X12" s="75">
        <f t="shared" si="2"/>
        <v>0.25</v>
      </c>
    </row>
    <row r="13" spans="1:26" ht="57.95" x14ac:dyDescent="0.35">
      <c r="A13" s="66" t="s">
        <v>370</v>
      </c>
      <c r="B13" s="66" t="s">
        <v>371</v>
      </c>
      <c r="C13" s="67" t="s">
        <v>423</v>
      </c>
      <c r="D13" s="67" t="s">
        <v>431</v>
      </c>
      <c r="E13" s="67" t="s">
        <v>432</v>
      </c>
      <c r="F13" s="67" t="s">
        <v>372</v>
      </c>
      <c r="G13" s="67" t="s">
        <v>598</v>
      </c>
      <c r="H13" s="67" t="s">
        <v>373</v>
      </c>
      <c r="O13" s="147" t="s">
        <v>2</v>
      </c>
      <c r="P13" s="147" t="s">
        <v>3</v>
      </c>
      <c r="Q13" s="147" t="s">
        <v>4</v>
      </c>
      <c r="R13" s="147" t="s">
        <v>5</v>
      </c>
      <c r="S13" s="147" t="s">
        <v>6</v>
      </c>
      <c r="T13" s="147" t="s">
        <v>2</v>
      </c>
      <c r="U13" s="147" t="s">
        <v>3</v>
      </c>
      <c r="V13" s="147" t="s">
        <v>4</v>
      </c>
      <c r="W13" s="147" t="s">
        <v>5</v>
      </c>
      <c r="X13" s="147" t="s">
        <v>6</v>
      </c>
    </row>
    <row r="14" spans="1:26" x14ac:dyDescent="0.25">
      <c r="A14" s="469" t="s">
        <v>374</v>
      </c>
      <c r="B14" s="85" t="s">
        <v>375</v>
      </c>
      <c r="C14" s="148">
        <v>0.25</v>
      </c>
      <c r="D14" s="82">
        <f t="shared" ref="D14:D22" si="3">$B$9*C14</f>
        <v>1400</v>
      </c>
      <c r="E14" s="149">
        <v>15</v>
      </c>
      <c r="F14" s="82">
        <f>D14*E14</f>
        <v>21000</v>
      </c>
      <c r="G14" s="115">
        <v>0.01</v>
      </c>
      <c r="H14" s="82">
        <f>(F14-F14*G14)</f>
        <v>20790</v>
      </c>
      <c r="J14" s="39">
        <f>$D$14*J12</f>
        <v>910</v>
      </c>
      <c r="K14" s="39">
        <f>$D$14*K12</f>
        <v>980.00000000000011</v>
      </c>
      <c r="L14" s="39">
        <f>$D$14*L12</f>
        <v>1050.0000000000002</v>
      </c>
      <c r="M14" s="39">
        <f>$D$14*M12</f>
        <v>1120.0000000000002</v>
      </c>
      <c r="N14" s="39">
        <f>$D$14*N12</f>
        <v>1190.0000000000002</v>
      </c>
    </row>
    <row r="15" spans="1:26" x14ac:dyDescent="0.25">
      <c r="A15" s="470"/>
      <c r="B15" s="85" t="s">
        <v>452</v>
      </c>
      <c r="C15" s="148">
        <v>0.4</v>
      </c>
      <c r="D15" s="82">
        <f t="shared" si="3"/>
        <v>2240</v>
      </c>
      <c r="E15" s="149">
        <v>5</v>
      </c>
      <c r="F15" s="82">
        <f t="shared" ref="F15:F36" si="4">D15*E15</f>
        <v>11200</v>
      </c>
      <c r="G15" s="115">
        <v>0.01</v>
      </c>
      <c r="H15" s="82">
        <f>(F15-F15*G15)</f>
        <v>11088</v>
      </c>
    </row>
    <row r="16" spans="1:26" x14ac:dyDescent="0.25">
      <c r="A16" s="470"/>
      <c r="B16" s="85" t="s">
        <v>446</v>
      </c>
      <c r="C16" s="148">
        <v>0.1</v>
      </c>
      <c r="D16" s="82">
        <f t="shared" si="3"/>
        <v>560</v>
      </c>
      <c r="E16" s="149">
        <v>10</v>
      </c>
      <c r="F16" s="82">
        <f t="shared" si="4"/>
        <v>5600</v>
      </c>
      <c r="G16" s="115">
        <v>0.02</v>
      </c>
      <c r="H16" s="82">
        <f t="shared" ref="H16:H36" si="5">(F16-F16*G16)</f>
        <v>5488</v>
      </c>
    </row>
    <row r="17" spans="1:8" ht="14.45" hidden="1" x14ac:dyDescent="0.35">
      <c r="A17" s="470"/>
      <c r="B17" s="85"/>
      <c r="C17" s="148">
        <v>0</v>
      </c>
      <c r="D17" s="82">
        <f t="shared" si="3"/>
        <v>0</v>
      </c>
      <c r="E17" s="149">
        <v>5</v>
      </c>
      <c r="F17" s="82">
        <f t="shared" si="4"/>
        <v>0</v>
      </c>
      <c r="G17" s="115">
        <v>0</v>
      </c>
      <c r="H17" s="82">
        <f t="shared" si="5"/>
        <v>0</v>
      </c>
    </row>
    <row r="18" spans="1:8" ht="14.45" hidden="1" x14ac:dyDescent="0.35">
      <c r="A18" s="470"/>
      <c r="B18" s="85"/>
      <c r="C18" s="148">
        <v>0</v>
      </c>
      <c r="D18" s="82">
        <f t="shared" si="3"/>
        <v>0</v>
      </c>
      <c r="E18" s="149">
        <v>20</v>
      </c>
      <c r="F18" s="82">
        <f t="shared" si="4"/>
        <v>0</v>
      </c>
      <c r="G18" s="115">
        <v>0.6</v>
      </c>
      <c r="H18" s="82">
        <f t="shared" si="5"/>
        <v>0</v>
      </c>
    </row>
    <row r="19" spans="1:8" ht="14.45" hidden="1" x14ac:dyDescent="0.35">
      <c r="A19" s="470"/>
      <c r="B19" s="85"/>
      <c r="C19" s="148">
        <v>0</v>
      </c>
      <c r="D19" s="82">
        <f t="shared" si="3"/>
        <v>0</v>
      </c>
      <c r="E19" s="149">
        <v>0</v>
      </c>
      <c r="F19" s="82">
        <f t="shared" si="4"/>
        <v>0</v>
      </c>
      <c r="G19" s="115">
        <v>0</v>
      </c>
      <c r="H19" s="82">
        <f t="shared" si="5"/>
        <v>0</v>
      </c>
    </row>
    <row r="20" spans="1:8" ht="14.45" hidden="1" x14ac:dyDescent="0.35">
      <c r="A20" s="470"/>
      <c r="B20" s="85"/>
      <c r="C20" s="148">
        <v>0</v>
      </c>
      <c r="D20" s="82">
        <f t="shared" si="3"/>
        <v>0</v>
      </c>
      <c r="E20" s="149">
        <v>10</v>
      </c>
      <c r="F20" s="82">
        <f t="shared" si="4"/>
        <v>0</v>
      </c>
      <c r="G20" s="115">
        <v>0.05</v>
      </c>
      <c r="H20" s="82">
        <f t="shared" si="5"/>
        <v>0</v>
      </c>
    </row>
    <row r="21" spans="1:8" ht="14.45" hidden="1" x14ac:dyDescent="0.35">
      <c r="A21" s="470"/>
      <c r="B21" s="85"/>
      <c r="C21" s="148">
        <v>0</v>
      </c>
      <c r="D21" s="82">
        <f t="shared" si="3"/>
        <v>0</v>
      </c>
      <c r="E21" s="149"/>
      <c r="F21" s="82">
        <f t="shared" si="4"/>
        <v>0</v>
      </c>
      <c r="G21" s="115">
        <v>0</v>
      </c>
      <c r="H21" s="82">
        <f t="shared" si="5"/>
        <v>0</v>
      </c>
    </row>
    <row r="22" spans="1:8" ht="14.45" hidden="1" x14ac:dyDescent="0.35">
      <c r="A22" s="471"/>
      <c r="B22" s="85"/>
      <c r="C22" s="148">
        <v>0</v>
      </c>
      <c r="D22" s="82">
        <f t="shared" si="3"/>
        <v>0</v>
      </c>
      <c r="E22" s="149"/>
      <c r="F22" s="82">
        <f t="shared" si="4"/>
        <v>0</v>
      </c>
      <c r="G22" s="115">
        <v>0</v>
      </c>
      <c r="H22" s="82">
        <f t="shared" si="5"/>
        <v>0</v>
      </c>
    </row>
    <row r="23" spans="1:8" ht="14.45" x14ac:dyDescent="0.35">
      <c r="A23" s="150" t="s">
        <v>454</v>
      </c>
      <c r="B23" s="151">
        <v>0.8</v>
      </c>
      <c r="C23" s="152">
        <f>B9*B23</f>
        <v>4480</v>
      </c>
      <c r="D23" s="82"/>
      <c r="E23" s="149"/>
      <c r="F23" s="82"/>
      <c r="G23" s="115"/>
      <c r="H23" s="82"/>
    </row>
    <row r="24" spans="1:8" x14ac:dyDescent="0.25">
      <c r="A24" s="469" t="s">
        <v>376</v>
      </c>
      <c r="B24" s="85" t="s">
        <v>377</v>
      </c>
      <c r="C24" s="148">
        <v>0.1</v>
      </c>
      <c r="D24" s="82">
        <f>C$23*C24</f>
        <v>448</v>
      </c>
      <c r="E24" s="149">
        <v>15</v>
      </c>
      <c r="F24" s="82">
        <f t="shared" si="4"/>
        <v>6720</v>
      </c>
      <c r="G24" s="115">
        <v>0.02</v>
      </c>
      <c r="H24" s="82">
        <f t="shared" si="5"/>
        <v>6585.6</v>
      </c>
    </row>
    <row r="25" spans="1:8" x14ac:dyDescent="0.25">
      <c r="A25" s="470"/>
      <c r="B25" s="85" t="s">
        <v>378</v>
      </c>
      <c r="C25" s="148">
        <v>0.4</v>
      </c>
      <c r="D25" s="82">
        <f>C$23*C25</f>
        <v>1792</v>
      </c>
      <c r="E25" s="149">
        <v>7</v>
      </c>
      <c r="F25" s="82">
        <f t="shared" si="4"/>
        <v>12544</v>
      </c>
      <c r="G25" s="115">
        <v>0.01</v>
      </c>
      <c r="H25" s="82">
        <f t="shared" si="5"/>
        <v>12418.56</v>
      </c>
    </row>
    <row r="26" spans="1:8" x14ac:dyDescent="0.25">
      <c r="A26" s="470"/>
      <c r="B26" s="85" t="s">
        <v>379</v>
      </c>
      <c r="C26" s="148">
        <v>0.15</v>
      </c>
      <c r="D26" s="82">
        <f>C$23*C26</f>
        <v>672</v>
      </c>
      <c r="E26" s="149">
        <v>10</v>
      </c>
      <c r="F26" s="82">
        <f t="shared" si="4"/>
        <v>6720</v>
      </c>
      <c r="G26" s="115">
        <v>0.02</v>
      </c>
      <c r="H26" s="82">
        <f t="shared" si="5"/>
        <v>6585.6</v>
      </c>
    </row>
    <row r="27" spans="1:8" x14ac:dyDescent="0.25">
      <c r="A27" s="470"/>
      <c r="B27" s="85" t="s">
        <v>375</v>
      </c>
      <c r="C27" s="148">
        <v>0.2</v>
      </c>
      <c r="D27" s="82">
        <f t="shared" ref="D27:D31" si="6">C$23*C27</f>
        <v>896</v>
      </c>
      <c r="E27" s="149">
        <v>15</v>
      </c>
      <c r="F27" s="82">
        <f t="shared" si="4"/>
        <v>13440</v>
      </c>
      <c r="G27" s="115">
        <v>0.01</v>
      </c>
      <c r="H27" s="82">
        <f t="shared" si="5"/>
        <v>13305.6</v>
      </c>
    </row>
    <row r="28" spans="1:8" ht="14.45" hidden="1" x14ac:dyDescent="0.35">
      <c r="A28" s="470"/>
      <c r="B28" s="85"/>
      <c r="C28" s="148">
        <v>0</v>
      </c>
      <c r="D28" s="47">
        <f t="shared" si="6"/>
        <v>0</v>
      </c>
      <c r="E28" s="114"/>
      <c r="F28" s="47">
        <f t="shared" si="4"/>
        <v>0</v>
      </c>
      <c r="G28" s="45">
        <v>0</v>
      </c>
      <c r="H28" s="47">
        <f t="shared" si="5"/>
        <v>0</v>
      </c>
    </row>
    <row r="29" spans="1:8" ht="14.45" hidden="1" x14ac:dyDescent="0.35">
      <c r="A29" s="470"/>
      <c r="B29" s="85"/>
      <c r="C29" s="148">
        <v>0</v>
      </c>
      <c r="D29" s="47">
        <f t="shared" si="6"/>
        <v>0</v>
      </c>
      <c r="E29" s="114"/>
      <c r="F29" s="47">
        <f t="shared" si="4"/>
        <v>0</v>
      </c>
      <c r="G29" s="45">
        <v>0</v>
      </c>
      <c r="H29" s="47">
        <f t="shared" si="5"/>
        <v>0</v>
      </c>
    </row>
    <row r="30" spans="1:8" ht="14.45" hidden="1" x14ac:dyDescent="0.35">
      <c r="A30" s="470"/>
      <c r="B30" s="85"/>
      <c r="C30" s="148">
        <v>0</v>
      </c>
      <c r="D30" s="47">
        <f t="shared" si="6"/>
        <v>0</v>
      </c>
      <c r="E30" s="114"/>
      <c r="F30" s="47">
        <f t="shared" si="4"/>
        <v>0</v>
      </c>
      <c r="G30" s="45">
        <v>0</v>
      </c>
      <c r="H30" s="47">
        <f t="shared" si="5"/>
        <v>0</v>
      </c>
    </row>
    <row r="31" spans="1:8" ht="14.45" hidden="1" x14ac:dyDescent="0.35">
      <c r="A31" s="471"/>
      <c r="B31" s="85"/>
      <c r="C31" s="148">
        <v>0</v>
      </c>
      <c r="D31" s="47">
        <f t="shared" si="6"/>
        <v>0</v>
      </c>
      <c r="E31" s="114"/>
      <c r="F31" s="47">
        <f t="shared" si="4"/>
        <v>0</v>
      </c>
      <c r="G31" s="45">
        <v>0</v>
      </c>
      <c r="H31" s="47">
        <f t="shared" si="5"/>
        <v>0</v>
      </c>
    </row>
    <row r="32" spans="1:8" ht="14.45" hidden="1" x14ac:dyDescent="0.35">
      <c r="A32" s="150" t="s">
        <v>453</v>
      </c>
      <c r="B32" s="151">
        <v>0.6</v>
      </c>
      <c r="C32" s="70">
        <f>B9*B32</f>
        <v>3360</v>
      </c>
      <c r="D32" s="47"/>
      <c r="E32" s="114"/>
      <c r="F32" s="47"/>
      <c r="G32" s="45"/>
      <c r="H32" s="47"/>
    </row>
    <row r="33" spans="1:8" ht="14.45" hidden="1" x14ac:dyDescent="0.35">
      <c r="A33" s="153" t="s">
        <v>437</v>
      </c>
      <c r="B33" s="85"/>
      <c r="C33" s="148">
        <v>0</v>
      </c>
      <c r="D33" s="47">
        <f>C$32*C33</f>
        <v>0</v>
      </c>
      <c r="E33" s="114"/>
      <c r="F33" s="47">
        <f t="shared" si="4"/>
        <v>0</v>
      </c>
      <c r="G33" s="45">
        <v>0</v>
      </c>
      <c r="H33" s="47">
        <f t="shared" si="5"/>
        <v>0</v>
      </c>
    </row>
    <row r="34" spans="1:8" ht="14.45" hidden="1" x14ac:dyDescent="0.35">
      <c r="A34" s="154"/>
      <c r="B34" s="85"/>
      <c r="C34" s="148">
        <v>0</v>
      </c>
      <c r="D34" s="47">
        <f>C$32*C34</f>
        <v>0</v>
      </c>
      <c r="E34" s="114"/>
      <c r="F34" s="47">
        <f t="shared" si="4"/>
        <v>0</v>
      </c>
      <c r="G34" s="45">
        <v>0</v>
      </c>
      <c r="H34" s="47">
        <f t="shared" si="5"/>
        <v>0</v>
      </c>
    </row>
    <row r="35" spans="1:8" ht="14.45" hidden="1" x14ac:dyDescent="0.35">
      <c r="A35" s="154"/>
      <c r="B35" s="85"/>
      <c r="C35" s="148">
        <v>0</v>
      </c>
      <c r="D35" s="47">
        <f>C$32*C35</f>
        <v>0</v>
      </c>
      <c r="E35" s="114"/>
      <c r="F35" s="47">
        <f t="shared" si="4"/>
        <v>0</v>
      </c>
      <c r="G35" s="45">
        <v>0</v>
      </c>
      <c r="H35" s="47">
        <f t="shared" si="5"/>
        <v>0</v>
      </c>
    </row>
    <row r="36" spans="1:8" ht="14.45" hidden="1" x14ac:dyDescent="0.35">
      <c r="A36" s="155"/>
      <c r="B36" s="85"/>
      <c r="C36" s="148">
        <v>0</v>
      </c>
      <c r="D36" s="47">
        <f>C$32*C36</f>
        <v>0</v>
      </c>
      <c r="E36" s="114"/>
      <c r="F36" s="47">
        <f t="shared" si="4"/>
        <v>0</v>
      </c>
      <c r="G36" s="45">
        <v>0</v>
      </c>
      <c r="H36" s="47">
        <f t="shared" si="5"/>
        <v>0</v>
      </c>
    </row>
    <row r="37" spans="1:8" ht="14.45" x14ac:dyDescent="0.35">
      <c r="A37" s="468" t="s">
        <v>380</v>
      </c>
      <c r="B37" s="468"/>
      <c r="C37" s="468"/>
      <c r="D37" s="468"/>
      <c r="E37" s="468"/>
      <c r="F37" s="468"/>
      <c r="G37" s="468"/>
      <c r="H37" s="468"/>
    </row>
    <row r="39" spans="1:8" x14ac:dyDescent="0.25">
      <c r="A39" s="472" t="s">
        <v>529</v>
      </c>
      <c r="B39" s="473"/>
      <c r="C39" s="473"/>
      <c r="D39" s="473"/>
      <c r="E39" s="473"/>
      <c r="F39" s="473"/>
      <c r="G39" s="473"/>
      <c r="H39" s="474"/>
    </row>
    <row r="40" spans="1:8" x14ac:dyDescent="0.25">
      <c r="A40" s="475" t="s">
        <v>0</v>
      </c>
      <c r="B40" s="156">
        <v>0.25</v>
      </c>
      <c r="C40" s="156">
        <f>B40+0.05</f>
        <v>0.3</v>
      </c>
      <c r="D40" s="156">
        <f t="shared" ref="D40:G40" si="7">C40+0.05</f>
        <v>0.35</v>
      </c>
      <c r="E40" s="156">
        <f t="shared" si="7"/>
        <v>0.39999999999999997</v>
      </c>
      <c r="F40" s="156">
        <f t="shared" si="7"/>
        <v>0.44999999999999996</v>
      </c>
      <c r="G40" s="156">
        <f t="shared" si="7"/>
        <v>0.49999999999999994</v>
      </c>
      <c r="H40" s="156">
        <f>G40+0.05</f>
        <v>0.54999999999999993</v>
      </c>
    </row>
    <row r="41" spans="1:8" x14ac:dyDescent="0.25">
      <c r="A41" s="476"/>
      <c r="B41" s="113" t="s">
        <v>2</v>
      </c>
      <c r="C41" s="113" t="s">
        <v>3</v>
      </c>
      <c r="D41" s="113" t="s">
        <v>4</v>
      </c>
      <c r="E41" s="113" t="s">
        <v>5</v>
      </c>
      <c r="F41" s="113" t="s">
        <v>6</v>
      </c>
      <c r="G41" s="113" t="s">
        <v>166</v>
      </c>
      <c r="H41" s="113" t="s">
        <v>165</v>
      </c>
    </row>
    <row r="42" spans="1:8" x14ac:dyDescent="0.25">
      <c r="A42" s="47" t="str">
        <f t="shared" ref="A42:A50" si="8">B14</f>
        <v>Maize</v>
      </c>
      <c r="B42" s="82">
        <f t="shared" ref="B42:B50" si="9">H14*$B$40</f>
        <v>5197.5</v>
      </c>
      <c r="C42" s="82">
        <f t="shared" ref="C42:H51" si="10">(B42/B$40)*C$40</f>
        <v>6237</v>
      </c>
      <c r="D42" s="82">
        <f t="shared" si="10"/>
        <v>7276.4999999999991</v>
      </c>
      <c r="E42" s="82">
        <f t="shared" si="10"/>
        <v>8316</v>
      </c>
      <c r="F42" s="82">
        <f t="shared" si="10"/>
        <v>9355.4999999999982</v>
      </c>
      <c r="G42" s="82">
        <f t="shared" si="10"/>
        <v>10394.999999999996</v>
      </c>
      <c r="H42" s="82">
        <f t="shared" si="10"/>
        <v>11434.499999999996</v>
      </c>
    </row>
    <row r="43" spans="1:8" x14ac:dyDescent="0.25">
      <c r="A43" s="47" t="str">
        <f t="shared" si="8"/>
        <v>Red Gram/Tur</v>
      </c>
      <c r="B43" s="82">
        <f t="shared" si="9"/>
        <v>2772</v>
      </c>
      <c r="C43" s="82">
        <f t="shared" si="10"/>
        <v>3326.4</v>
      </c>
      <c r="D43" s="82">
        <f t="shared" si="10"/>
        <v>3880.7999999999997</v>
      </c>
      <c r="E43" s="82">
        <f t="shared" si="10"/>
        <v>4435.2</v>
      </c>
      <c r="F43" s="82">
        <f t="shared" si="10"/>
        <v>4989.5999999999995</v>
      </c>
      <c r="G43" s="82">
        <f t="shared" si="10"/>
        <v>5543.9999999999991</v>
      </c>
      <c r="H43" s="82">
        <f t="shared" si="10"/>
        <v>6098.4</v>
      </c>
    </row>
    <row r="44" spans="1:8" x14ac:dyDescent="0.25">
      <c r="A44" s="47" t="str">
        <f t="shared" si="8"/>
        <v>Bajra</v>
      </c>
      <c r="B44" s="82">
        <f t="shared" si="9"/>
        <v>1372</v>
      </c>
      <c r="C44" s="82">
        <f t="shared" si="10"/>
        <v>1646.3999999999999</v>
      </c>
      <c r="D44" s="82">
        <f t="shared" si="10"/>
        <v>1920.8</v>
      </c>
      <c r="E44" s="82">
        <f t="shared" si="10"/>
        <v>2195.1999999999998</v>
      </c>
      <c r="F44" s="82">
        <f t="shared" si="10"/>
        <v>2469.6</v>
      </c>
      <c r="G44" s="82">
        <f t="shared" si="10"/>
        <v>2743.9999999999995</v>
      </c>
      <c r="H44" s="82">
        <f t="shared" si="10"/>
        <v>3018.3999999999996</v>
      </c>
    </row>
    <row r="45" spans="1:8" ht="14.45" hidden="1" x14ac:dyDescent="0.35">
      <c r="A45" s="47">
        <f t="shared" si="8"/>
        <v>0</v>
      </c>
      <c r="B45" s="82">
        <f t="shared" si="9"/>
        <v>0</v>
      </c>
      <c r="C45" s="82">
        <f t="shared" si="10"/>
        <v>0</v>
      </c>
      <c r="D45" s="82">
        <f t="shared" si="10"/>
        <v>0</v>
      </c>
      <c r="E45" s="82">
        <f t="shared" si="10"/>
        <v>0</v>
      </c>
      <c r="F45" s="82">
        <f t="shared" si="10"/>
        <v>0</v>
      </c>
      <c r="G45" s="82">
        <f t="shared" si="10"/>
        <v>0</v>
      </c>
      <c r="H45" s="82">
        <f t="shared" si="10"/>
        <v>0</v>
      </c>
    </row>
    <row r="46" spans="1:8" ht="14.45" hidden="1" x14ac:dyDescent="0.35">
      <c r="A46" s="47">
        <f t="shared" si="8"/>
        <v>0</v>
      </c>
      <c r="B46" s="82">
        <f t="shared" si="9"/>
        <v>0</v>
      </c>
      <c r="C46" s="82">
        <f t="shared" si="10"/>
        <v>0</v>
      </c>
      <c r="D46" s="82">
        <f t="shared" si="10"/>
        <v>0</v>
      </c>
      <c r="E46" s="82">
        <f t="shared" si="10"/>
        <v>0</v>
      </c>
      <c r="F46" s="82">
        <f t="shared" si="10"/>
        <v>0</v>
      </c>
      <c r="G46" s="82">
        <f t="shared" si="10"/>
        <v>0</v>
      </c>
      <c r="H46" s="82">
        <f t="shared" si="10"/>
        <v>0</v>
      </c>
    </row>
    <row r="47" spans="1:8" ht="14.45" hidden="1" x14ac:dyDescent="0.35">
      <c r="A47" s="47">
        <f t="shared" si="8"/>
        <v>0</v>
      </c>
      <c r="B47" s="82">
        <f t="shared" si="9"/>
        <v>0</v>
      </c>
      <c r="C47" s="82">
        <f t="shared" si="10"/>
        <v>0</v>
      </c>
      <c r="D47" s="82">
        <f t="shared" si="10"/>
        <v>0</v>
      </c>
      <c r="E47" s="82">
        <f t="shared" si="10"/>
        <v>0</v>
      </c>
      <c r="F47" s="82">
        <f t="shared" si="10"/>
        <v>0</v>
      </c>
      <c r="G47" s="82">
        <f t="shared" si="10"/>
        <v>0</v>
      </c>
      <c r="H47" s="82">
        <f t="shared" si="10"/>
        <v>0</v>
      </c>
    </row>
    <row r="48" spans="1:8" ht="14.45" hidden="1" x14ac:dyDescent="0.35">
      <c r="A48" s="47">
        <f t="shared" si="8"/>
        <v>0</v>
      </c>
      <c r="B48" s="82">
        <f t="shared" si="9"/>
        <v>0</v>
      </c>
      <c r="C48" s="82">
        <f t="shared" si="10"/>
        <v>0</v>
      </c>
      <c r="D48" s="82">
        <f t="shared" si="10"/>
        <v>0</v>
      </c>
      <c r="E48" s="82">
        <f t="shared" si="10"/>
        <v>0</v>
      </c>
      <c r="F48" s="82">
        <f t="shared" si="10"/>
        <v>0</v>
      </c>
      <c r="G48" s="82">
        <f t="shared" si="10"/>
        <v>0</v>
      </c>
      <c r="H48" s="82">
        <f t="shared" si="10"/>
        <v>0</v>
      </c>
    </row>
    <row r="49" spans="1:8" ht="14.45" hidden="1" x14ac:dyDescent="0.35">
      <c r="A49" s="47">
        <f t="shared" si="8"/>
        <v>0</v>
      </c>
      <c r="B49" s="82">
        <f t="shared" si="9"/>
        <v>0</v>
      </c>
      <c r="C49" s="82">
        <f t="shared" si="10"/>
        <v>0</v>
      </c>
      <c r="D49" s="82">
        <f t="shared" si="10"/>
        <v>0</v>
      </c>
      <c r="E49" s="82">
        <f t="shared" si="10"/>
        <v>0</v>
      </c>
      <c r="F49" s="82">
        <f t="shared" si="10"/>
        <v>0</v>
      </c>
      <c r="G49" s="82">
        <f t="shared" si="10"/>
        <v>0</v>
      </c>
      <c r="H49" s="82">
        <f t="shared" si="10"/>
        <v>0</v>
      </c>
    </row>
    <row r="50" spans="1:8" ht="14.45" hidden="1" x14ac:dyDescent="0.35">
      <c r="A50" s="47">
        <f t="shared" si="8"/>
        <v>0</v>
      </c>
      <c r="B50" s="82">
        <f t="shared" si="9"/>
        <v>0</v>
      </c>
      <c r="C50" s="82">
        <f t="shared" si="10"/>
        <v>0</v>
      </c>
      <c r="D50" s="82">
        <f t="shared" si="10"/>
        <v>0</v>
      </c>
      <c r="E50" s="82">
        <f t="shared" si="10"/>
        <v>0</v>
      </c>
      <c r="F50" s="82">
        <f t="shared" si="10"/>
        <v>0</v>
      </c>
      <c r="G50" s="82">
        <f t="shared" si="10"/>
        <v>0</v>
      </c>
      <c r="H50" s="82">
        <f t="shared" si="10"/>
        <v>0</v>
      </c>
    </row>
    <row r="51" spans="1:8" x14ac:dyDescent="0.25">
      <c r="A51" s="47" t="str">
        <f t="shared" ref="A51:A58" si="11">B24</f>
        <v>Wheat</v>
      </c>
      <c r="B51" s="82">
        <f t="shared" ref="B51:B58" si="12">H24*$B$40</f>
        <v>1646.4</v>
      </c>
      <c r="C51" s="82">
        <f t="shared" si="10"/>
        <v>1975.68</v>
      </c>
      <c r="D51" s="82">
        <f t="shared" si="10"/>
        <v>2304.96</v>
      </c>
      <c r="E51" s="82">
        <f t="shared" si="10"/>
        <v>2634.24</v>
      </c>
      <c r="F51" s="82">
        <f t="shared" si="10"/>
        <v>2963.52</v>
      </c>
      <c r="G51" s="82">
        <f t="shared" si="10"/>
        <v>3292.7999999999997</v>
      </c>
      <c r="H51" s="82">
        <f t="shared" si="10"/>
        <v>3622.08</v>
      </c>
    </row>
    <row r="52" spans="1:8" x14ac:dyDescent="0.25">
      <c r="A52" s="47" t="str">
        <f t="shared" si="11"/>
        <v>Bengal Gram/Channa</v>
      </c>
      <c r="B52" s="82">
        <f t="shared" si="12"/>
        <v>3104.64</v>
      </c>
      <c r="C52" s="82">
        <f t="shared" ref="C52:H61" si="13">(B52/B$40)*C$40</f>
        <v>3725.5679999999998</v>
      </c>
      <c r="D52" s="82">
        <f t="shared" si="13"/>
        <v>4346.4959999999992</v>
      </c>
      <c r="E52" s="82">
        <f t="shared" si="13"/>
        <v>4967.4239999999991</v>
      </c>
      <c r="F52" s="82">
        <f t="shared" si="13"/>
        <v>5588.351999999999</v>
      </c>
      <c r="G52" s="82">
        <f t="shared" si="13"/>
        <v>6209.2799999999988</v>
      </c>
      <c r="H52" s="82">
        <f t="shared" si="13"/>
        <v>6830.2079999999987</v>
      </c>
    </row>
    <row r="53" spans="1:8" x14ac:dyDescent="0.25">
      <c r="A53" s="47" t="str">
        <f t="shared" si="11"/>
        <v>Jawar</v>
      </c>
      <c r="B53" s="82">
        <f t="shared" si="12"/>
        <v>1646.4</v>
      </c>
      <c r="C53" s="82">
        <f t="shared" si="13"/>
        <v>1975.68</v>
      </c>
      <c r="D53" s="82">
        <f t="shared" si="13"/>
        <v>2304.96</v>
      </c>
      <c r="E53" s="82">
        <f t="shared" si="13"/>
        <v>2634.24</v>
      </c>
      <c r="F53" s="82">
        <f t="shared" si="13"/>
        <v>2963.52</v>
      </c>
      <c r="G53" s="82">
        <f t="shared" si="13"/>
        <v>3292.7999999999997</v>
      </c>
      <c r="H53" s="82">
        <f t="shared" si="13"/>
        <v>3622.08</v>
      </c>
    </row>
    <row r="54" spans="1:8" x14ac:dyDescent="0.25">
      <c r="A54" s="47" t="str">
        <f t="shared" si="11"/>
        <v>Maize</v>
      </c>
      <c r="B54" s="82">
        <f t="shared" si="12"/>
        <v>3326.4</v>
      </c>
      <c r="C54" s="82">
        <f t="shared" si="13"/>
        <v>3991.68</v>
      </c>
      <c r="D54" s="82">
        <f t="shared" si="13"/>
        <v>4656.96</v>
      </c>
      <c r="E54" s="82">
        <f t="shared" si="13"/>
        <v>5322.24</v>
      </c>
      <c r="F54" s="82">
        <f t="shared" si="13"/>
        <v>5987.5199999999995</v>
      </c>
      <c r="G54" s="82">
        <f t="shared" si="13"/>
        <v>6652.7999999999993</v>
      </c>
      <c r="H54" s="82">
        <f t="shared" si="13"/>
        <v>7318.079999999999</v>
      </c>
    </row>
    <row r="55" spans="1:8" ht="14.45" hidden="1" x14ac:dyDescent="0.35">
      <c r="A55" s="47">
        <f t="shared" si="11"/>
        <v>0</v>
      </c>
      <c r="B55" s="82">
        <f t="shared" si="12"/>
        <v>0</v>
      </c>
      <c r="C55" s="82">
        <f t="shared" si="13"/>
        <v>0</v>
      </c>
      <c r="D55" s="82">
        <f t="shared" si="13"/>
        <v>0</v>
      </c>
      <c r="E55" s="82">
        <f t="shared" si="13"/>
        <v>0</v>
      </c>
      <c r="F55" s="82">
        <f t="shared" si="13"/>
        <v>0</v>
      </c>
      <c r="G55" s="82">
        <f t="shared" si="13"/>
        <v>0</v>
      </c>
      <c r="H55" s="82">
        <f t="shared" si="13"/>
        <v>0</v>
      </c>
    </row>
    <row r="56" spans="1:8" ht="14.45" hidden="1" x14ac:dyDescent="0.35">
      <c r="A56" s="47">
        <f t="shared" si="11"/>
        <v>0</v>
      </c>
      <c r="B56" s="82">
        <f t="shared" si="12"/>
        <v>0</v>
      </c>
      <c r="C56" s="82">
        <f t="shared" si="13"/>
        <v>0</v>
      </c>
      <c r="D56" s="82">
        <f t="shared" si="13"/>
        <v>0</v>
      </c>
      <c r="E56" s="82">
        <f t="shared" si="13"/>
        <v>0</v>
      </c>
      <c r="F56" s="82">
        <f t="shared" si="13"/>
        <v>0</v>
      </c>
      <c r="G56" s="82">
        <f t="shared" si="13"/>
        <v>0</v>
      </c>
      <c r="H56" s="82">
        <f t="shared" si="13"/>
        <v>0</v>
      </c>
    </row>
    <row r="57" spans="1:8" ht="14.45" hidden="1" x14ac:dyDescent="0.35">
      <c r="A57" s="47">
        <f t="shared" si="11"/>
        <v>0</v>
      </c>
      <c r="B57" s="82">
        <f t="shared" si="12"/>
        <v>0</v>
      </c>
      <c r="C57" s="82">
        <f t="shared" si="13"/>
        <v>0</v>
      </c>
      <c r="D57" s="82">
        <f t="shared" si="13"/>
        <v>0</v>
      </c>
      <c r="E57" s="82">
        <f t="shared" si="13"/>
        <v>0</v>
      </c>
      <c r="F57" s="82">
        <f t="shared" si="13"/>
        <v>0</v>
      </c>
      <c r="G57" s="82">
        <f t="shared" si="13"/>
        <v>0</v>
      </c>
      <c r="H57" s="82">
        <f t="shared" si="13"/>
        <v>0</v>
      </c>
    </row>
    <row r="58" spans="1:8" ht="14.45" hidden="1" x14ac:dyDescent="0.35">
      <c r="A58" s="47">
        <f t="shared" si="11"/>
        <v>0</v>
      </c>
      <c r="B58" s="82">
        <f t="shared" si="12"/>
        <v>0</v>
      </c>
      <c r="C58" s="82">
        <f t="shared" si="13"/>
        <v>0</v>
      </c>
      <c r="D58" s="82">
        <f t="shared" si="13"/>
        <v>0</v>
      </c>
      <c r="E58" s="82">
        <f t="shared" si="13"/>
        <v>0</v>
      </c>
      <c r="F58" s="82">
        <f t="shared" si="13"/>
        <v>0</v>
      </c>
      <c r="G58" s="82">
        <f t="shared" si="13"/>
        <v>0</v>
      </c>
      <c r="H58" s="82">
        <f t="shared" si="13"/>
        <v>0</v>
      </c>
    </row>
    <row r="59" spans="1:8" ht="14.45" hidden="1" x14ac:dyDescent="0.35">
      <c r="A59" s="47">
        <f>B33</f>
        <v>0</v>
      </c>
      <c r="B59" s="82">
        <f>H33*$B$40</f>
        <v>0</v>
      </c>
      <c r="C59" s="82">
        <f t="shared" si="13"/>
        <v>0</v>
      </c>
      <c r="D59" s="82">
        <f t="shared" si="13"/>
        <v>0</v>
      </c>
      <c r="E59" s="82">
        <f t="shared" si="13"/>
        <v>0</v>
      </c>
      <c r="F59" s="82">
        <f t="shared" si="13"/>
        <v>0</v>
      </c>
      <c r="G59" s="82">
        <f t="shared" si="13"/>
        <v>0</v>
      </c>
      <c r="H59" s="82">
        <f t="shared" si="13"/>
        <v>0</v>
      </c>
    </row>
    <row r="60" spans="1:8" ht="14.45" hidden="1" x14ac:dyDescent="0.35">
      <c r="A60" s="47">
        <f>B34</f>
        <v>0</v>
      </c>
      <c r="B60" s="82">
        <f>H34*$B$40</f>
        <v>0</v>
      </c>
      <c r="C60" s="82">
        <f t="shared" si="13"/>
        <v>0</v>
      </c>
      <c r="D60" s="82">
        <f t="shared" si="13"/>
        <v>0</v>
      </c>
      <c r="E60" s="82">
        <f t="shared" si="13"/>
        <v>0</v>
      </c>
      <c r="F60" s="82">
        <f t="shared" si="13"/>
        <v>0</v>
      </c>
      <c r="G60" s="82">
        <f t="shared" si="13"/>
        <v>0</v>
      </c>
      <c r="H60" s="82">
        <f t="shared" si="13"/>
        <v>0</v>
      </c>
    </row>
    <row r="61" spans="1:8" ht="14.45" hidden="1" x14ac:dyDescent="0.35">
      <c r="A61" s="47">
        <f>B35</f>
        <v>0</v>
      </c>
      <c r="B61" s="82">
        <f>H35*$B$40</f>
        <v>0</v>
      </c>
      <c r="C61" s="82">
        <f t="shared" si="13"/>
        <v>0</v>
      </c>
      <c r="D61" s="82">
        <f t="shared" si="13"/>
        <v>0</v>
      </c>
      <c r="E61" s="82">
        <f t="shared" si="13"/>
        <v>0</v>
      </c>
      <c r="F61" s="82">
        <f t="shared" si="13"/>
        <v>0</v>
      </c>
      <c r="G61" s="82">
        <f t="shared" si="13"/>
        <v>0</v>
      </c>
      <c r="H61" s="82">
        <f t="shared" si="13"/>
        <v>0</v>
      </c>
    </row>
    <row r="62" spans="1:8" ht="14.45" hidden="1" x14ac:dyDescent="0.35">
      <c r="A62" s="47">
        <f>B36</f>
        <v>0</v>
      </c>
      <c r="B62" s="82">
        <f>H36*$B$40</f>
        <v>0</v>
      </c>
      <c r="C62" s="82">
        <f t="shared" ref="C62:H62" si="14">(B62/B$40)*C$40</f>
        <v>0</v>
      </c>
      <c r="D62" s="82">
        <f t="shared" si="14"/>
        <v>0</v>
      </c>
      <c r="E62" s="82">
        <f t="shared" si="14"/>
        <v>0</v>
      </c>
      <c r="F62" s="82">
        <f t="shared" si="14"/>
        <v>0</v>
      </c>
      <c r="G62" s="82">
        <f t="shared" si="14"/>
        <v>0</v>
      </c>
      <c r="H62" s="82">
        <f t="shared" si="14"/>
        <v>0</v>
      </c>
    </row>
    <row r="64" spans="1:8" x14ac:dyDescent="0.25">
      <c r="A64" s="477" t="s">
        <v>530</v>
      </c>
      <c r="B64" s="478"/>
      <c r="C64" s="478"/>
      <c r="D64" s="478"/>
      <c r="E64" s="478"/>
      <c r="F64" s="478"/>
      <c r="G64" s="478"/>
      <c r="H64" s="479"/>
    </row>
    <row r="65" spans="1:8" x14ac:dyDescent="0.25">
      <c r="A65" s="480" t="s">
        <v>0</v>
      </c>
      <c r="B65" s="157">
        <v>0.3</v>
      </c>
      <c r="C65" s="157">
        <f>B65+0.05</f>
        <v>0.35</v>
      </c>
      <c r="D65" s="157">
        <f t="shared" ref="D65:G65" si="15">C65+0.05</f>
        <v>0.39999999999999997</v>
      </c>
      <c r="E65" s="157">
        <f t="shared" si="15"/>
        <v>0.44999999999999996</v>
      </c>
      <c r="F65" s="157">
        <f t="shared" si="15"/>
        <v>0.49999999999999994</v>
      </c>
      <c r="G65" s="157">
        <f t="shared" si="15"/>
        <v>0.54999999999999993</v>
      </c>
      <c r="H65" s="157">
        <f>G65+0.05</f>
        <v>0.6</v>
      </c>
    </row>
    <row r="66" spans="1:8" x14ac:dyDescent="0.25">
      <c r="A66" s="481"/>
      <c r="B66" s="113" t="s">
        <v>2</v>
      </c>
      <c r="C66" s="113" t="s">
        <v>3</v>
      </c>
      <c r="D66" s="113" t="s">
        <v>4</v>
      </c>
      <c r="E66" s="113" t="s">
        <v>5</v>
      </c>
      <c r="F66" s="113" t="s">
        <v>6</v>
      </c>
      <c r="G66" s="113" t="s">
        <v>166</v>
      </c>
      <c r="H66" s="113" t="s">
        <v>165</v>
      </c>
    </row>
    <row r="67" spans="1:8" s="158" customFormat="1" x14ac:dyDescent="0.25">
      <c r="A67" s="47" t="str">
        <f t="shared" ref="A67:A87" si="16">A42</f>
        <v>Maize</v>
      </c>
      <c r="B67" s="82">
        <v>0</v>
      </c>
      <c r="C67" s="82">
        <f>(B67/B$65)*C$65</f>
        <v>0</v>
      </c>
      <c r="D67" s="82">
        <f t="shared" ref="D67:H68" si="17">(C67/C$65)*D$65</f>
        <v>0</v>
      </c>
      <c r="E67" s="82">
        <f t="shared" si="17"/>
        <v>0</v>
      </c>
      <c r="F67" s="82">
        <f t="shared" si="17"/>
        <v>0</v>
      </c>
      <c r="G67" s="82">
        <f t="shared" si="17"/>
        <v>0</v>
      </c>
      <c r="H67" s="82">
        <f t="shared" si="17"/>
        <v>0</v>
      </c>
    </row>
    <row r="68" spans="1:8" x14ac:dyDescent="0.25">
      <c r="A68" s="47" t="str">
        <f t="shared" si="16"/>
        <v>Red Gram/Tur</v>
      </c>
      <c r="B68" s="82">
        <f t="shared" ref="B68:B75" si="18">H15*$B$65</f>
        <v>3326.4</v>
      </c>
      <c r="C68" s="82">
        <f>(B68/B$65)*C$65</f>
        <v>3880.7999999999997</v>
      </c>
      <c r="D68" s="82">
        <f t="shared" si="17"/>
        <v>4435.2</v>
      </c>
      <c r="E68" s="82">
        <f t="shared" si="17"/>
        <v>4989.5999999999995</v>
      </c>
      <c r="F68" s="82">
        <f t="shared" si="17"/>
        <v>5543.9999999999991</v>
      </c>
      <c r="G68" s="82">
        <f t="shared" si="17"/>
        <v>6098.4</v>
      </c>
      <c r="H68" s="82">
        <f t="shared" si="17"/>
        <v>6652.8</v>
      </c>
    </row>
    <row r="69" spans="1:8" x14ac:dyDescent="0.25">
      <c r="A69" s="47" t="str">
        <f t="shared" si="16"/>
        <v>Bajra</v>
      </c>
      <c r="B69" s="82">
        <f t="shared" si="18"/>
        <v>1646.3999999999999</v>
      </c>
      <c r="C69" s="82">
        <f t="shared" ref="C69:H69" si="19">(B69/B$65)*C$65</f>
        <v>1920.8</v>
      </c>
      <c r="D69" s="82">
        <f t="shared" si="19"/>
        <v>2195.1999999999998</v>
      </c>
      <c r="E69" s="82">
        <f t="shared" si="19"/>
        <v>2469.6</v>
      </c>
      <c r="F69" s="82">
        <f t="shared" si="19"/>
        <v>2743.9999999999995</v>
      </c>
      <c r="G69" s="82">
        <f t="shared" si="19"/>
        <v>3018.3999999999996</v>
      </c>
      <c r="H69" s="82">
        <f t="shared" si="19"/>
        <v>3292.7999999999997</v>
      </c>
    </row>
    <row r="70" spans="1:8" ht="14.45" hidden="1" x14ac:dyDescent="0.35">
      <c r="A70" s="47">
        <f t="shared" si="16"/>
        <v>0</v>
      </c>
      <c r="B70" s="82">
        <f t="shared" si="18"/>
        <v>0</v>
      </c>
      <c r="C70" s="82">
        <f t="shared" ref="C70:H70" si="20">(B70/B$65)*C$65</f>
        <v>0</v>
      </c>
      <c r="D70" s="82">
        <f t="shared" si="20"/>
        <v>0</v>
      </c>
      <c r="E70" s="82">
        <f t="shared" si="20"/>
        <v>0</v>
      </c>
      <c r="F70" s="82">
        <f t="shared" si="20"/>
        <v>0</v>
      </c>
      <c r="G70" s="82">
        <f t="shared" si="20"/>
        <v>0</v>
      </c>
      <c r="H70" s="82">
        <f t="shared" si="20"/>
        <v>0</v>
      </c>
    </row>
    <row r="71" spans="1:8" ht="14.45" hidden="1" x14ac:dyDescent="0.35">
      <c r="A71" s="47">
        <f t="shared" si="16"/>
        <v>0</v>
      </c>
      <c r="B71" s="82">
        <f t="shared" si="18"/>
        <v>0</v>
      </c>
      <c r="C71" s="82">
        <f t="shared" ref="C71:H71" si="21">(B71/B$65)*C$65</f>
        <v>0</v>
      </c>
      <c r="D71" s="82">
        <f t="shared" si="21"/>
        <v>0</v>
      </c>
      <c r="E71" s="82">
        <f t="shared" si="21"/>
        <v>0</v>
      </c>
      <c r="F71" s="82">
        <f t="shared" si="21"/>
        <v>0</v>
      </c>
      <c r="G71" s="82">
        <f t="shared" si="21"/>
        <v>0</v>
      </c>
      <c r="H71" s="82">
        <f t="shared" si="21"/>
        <v>0</v>
      </c>
    </row>
    <row r="72" spans="1:8" ht="14.45" hidden="1" x14ac:dyDescent="0.35">
      <c r="A72" s="47">
        <f t="shared" si="16"/>
        <v>0</v>
      </c>
      <c r="B72" s="82">
        <f t="shared" si="18"/>
        <v>0</v>
      </c>
      <c r="C72" s="82">
        <f t="shared" ref="C72:H72" si="22">(B72/B$65)*C$65</f>
        <v>0</v>
      </c>
      <c r="D72" s="82">
        <f t="shared" si="22"/>
        <v>0</v>
      </c>
      <c r="E72" s="82">
        <f t="shared" si="22"/>
        <v>0</v>
      </c>
      <c r="F72" s="82">
        <f t="shared" si="22"/>
        <v>0</v>
      </c>
      <c r="G72" s="82">
        <f t="shared" si="22"/>
        <v>0</v>
      </c>
      <c r="H72" s="82">
        <f t="shared" si="22"/>
        <v>0</v>
      </c>
    </row>
    <row r="73" spans="1:8" ht="14.45" hidden="1" x14ac:dyDescent="0.35">
      <c r="A73" s="47">
        <f t="shared" si="16"/>
        <v>0</v>
      </c>
      <c r="B73" s="82">
        <f t="shared" si="18"/>
        <v>0</v>
      </c>
      <c r="C73" s="82">
        <f t="shared" ref="C73:H73" si="23">(B73/B$65)*C$65</f>
        <v>0</v>
      </c>
      <c r="D73" s="82">
        <f t="shared" si="23"/>
        <v>0</v>
      </c>
      <c r="E73" s="82">
        <f t="shared" si="23"/>
        <v>0</v>
      </c>
      <c r="F73" s="82">
        <f t="shared" si="23"/>
        <v>0</v>
      </c>
      <c r="G73" s="82">
        <f t="shared" si="23"/>
        <v>0</v>
      </c>
      <c r="H73" s="82">
        <f t="shared" si="23"/>
        <v>0</v>
      </c>
    </row>
    <row r="74" spans="1:8" ht="14.45" hidden="1" x14ac:dyDescent="0.35">
      <c r="A74" s="47">
        <f t="shared" si="16"/>
        <v>0</v>
      </c>
      <c r="B74" s="82">
        <f t="shared" si="18"/>
        <v>0</v>
      </c>
      <c r="C74" s="82">
        <f t="shared" ref="C74:H74" si="24">(B74/B$65)*C$65</f>
        <v>0</v>
      </c>
      <c r="D74" s="82">
        <f t="shared" si="24"/>
        <v>0</v>
      </c>
      <c r="E74" s="82">
        <f t="shared" si="24"/>
        <v>0</v>
      </c>
      <c r="F74" s="82">
        <f t="shared" si="24"/>
        <v>0</v>
      </c>
      <c r="G74" s="82">
        <f t="shared" si="24"/>
        <v>0</v>
      </c>
      <c r="H74" s="82">
        <f t="shared" si="24"/>
        <v>0</v>
      </c>
    </row>
    <row r="75" spans="1:8" ht="14.45" hidden="1" x14ac:dyDescent="0.35">
      <c r="A75" s="47">
        <f t="shared" si="16"/>
        <v>0</v>
      </c>
      <c r="B75" s="82">
        <f t="shared" si="18"/>
        <v>0</v>
      </c>
      <c r="C75" s="82">
        <f t="shared" ref="C75:H75" si="25">(B75/B$65)*C$65</f>
        <v>0</v>
      </c>
      <c r="D75" s="82">
        <f t="shared" si="25"/>
        <v>0</v>
      </c>
      <c r="E75" s="82">
        <f t="shared" si="25"/>
        <v>0</v>
      </c>
      <c r="F75" s="82">
        <f t="shared" si="25"/>
        <v>0</v>
      </c>
      <c r="G75" s="82">
        <f t="shared" si="25"/>
        <v>0</v>
      </c>
      <c r="H75" s="82">
        <f t="shared" si="25"/>
        <v>0</v>
      </c>
    </row>
    <row r="76" spans="1:8" x14ac:dyDescent="0.25">
      <c r="A76" s="47" t="str">
        <f t="shared" si="16"/>
        <v>Wheat</v>
      </c>
      <c r="B76" s="82">
        <f>H24*$B$65</f>
        <v>1975.68</v>
      </c>
      <c r="C76" s="82">
        <f t="shared" ref="C76:H76" si="26">(B76/B$65)*C$65</f>
        <v>2304.96</v>
      </c>
      <c r="D76" s="82">
        <f t="shared" si="26"/>
        <v>2634.24</v>
      </c>
      <c r="E76" s="82">
        <f t="shared" si="26"/>
        <v>2963.52</v>
      </c>
      <c r="F76" s="82">
        <f t="shared" si="26"/>
        <v>3292.7999999999997</v>
      </c>
      <c r="G76" s="82">
        <f t="shared" si="26"/>
        <v>3622.08</v>
      </c>
      <c r="H76" s="82">
        <f t="shared" si="26"/>
        <v>3951.36</v>
      </c>
    </row>
    <row r="77" spans="1:8" x14ac:dyDescent="0.25">
      <c r="A77" s="47" t="str">
        <f t="shared" si="16"/>
        <v>Bengal Gram/Channa</v>
      </c>
      <c r="B77" s="82">
        <f t="shared" ref="B77:B78" si="27">H25*$B$65</f>
        <v>3725.5679999999998</v>
      </c>
      <c r="C77" s="82">
        <f t="shared" ref="C77:H77" si="28">(B77/B$65)*C$65</f>
        <v>4346.4959999999992</v>
      </c>
      <c r="D77" s="82">
        <f t="shared" si="28"/>
        <v>4967.4239999999991</v>
      </c>
      <c r="E77" s="82">
        <f t="shared" si="28"/>
        <v>5588.351999999999</v>
      </c>
      <c r="F77" s="82">
        <f t="shared" si="28"/>
        <v>6209.2799999999988</v>
      </c>
      <c r="G77" s="82">
        <f t="shared" si="28"/>
        <v>6830.2079999999987</v>
      </c>
      <c r="H77" s="82">
        <f t="shared" si="28"/>
        <v>7451.1359999999995</v>
      </c>
    </row>
    <row r="78" spans="1:8" x14ac:dyDescent="0.25">
      <c r="A78" s="47" t="str">
        <f t="shared" si="16"/>
        <v>Jawar</v>
      </c>
      <c r="B78" s="82">
        <f t="shared" si="27"/>
        <v>1975.68</v>
      </c>
      <c r="C78" s="82">
        <f t="shared" ref="C78:H78" si="29">(B78/B$65)*C$65</f>
        <v>2304.96</v>
      </c>
      <c r="D78" s="82">
        <f t="shared" si="29"/>
        <v>2634.24</v>
      </c>
      <c r="E78" s="82">
        <f t="shared" si="29"/>
        <v>2963.52</v>
      </c>
      <c r="F78" s="82">
        <f t="shared" si="29"/>
        <v>3292.7999999999997</v>
      </c>
      <c r="G78" s="82">
        <f t="shared" si="29"/>
        <v>3622.08</v>
      </c>
      <c r="H78" s="82">
        <f t="shared" si="29"/>
        <v>3951.36</v>
      </c>
    </row>
    <row r="79" spans="1:8" x14ac:dyDescent="0.25">
      <c r="A79" s="47" t="str">
        <f t="shared" si="16"/>
        <v>Maize</v>
      </c>
      <c r="B79" s="82">
        <v>0</v>
      </c>
      <c r="C79" s="82">
        <f t="shared" ref="C79:H79" si="30">(B79/B$65)*C$65</f>
        <v>0</v>
      </c>
      <c r="D79" s="82">
        <f t="shared" si="30"/>
        <v>0</v>
      </c>
      <c r="E79" s="82">
        <f t="shared" si="30"/>
        <v>0</v>
      </c>
      <c r="F79" s="82">
        <f t="shared" si="30"/>
        <v>0</v>
      </c>
      <c r="G79" s="82">
        <f t="shared" si="30"/>
        <v>0</v>
      </c>
      <c r="H79" s="82">
        <f t="shared" si="30"/>
        <v>0</v>
      </c>
    </row>
    <row r="80" spans="1:8" ht="14.45" hidden="1" x14ac:dyDescent="0.35">
      <c r="A80" s="47">
        <f t="shared" si="16"/>
        <v>0</v>
      </c>
      <c r="B80" s="82">
        <f t="shared" ref="B80:B83" si="31">H28*$B$65</f>
        <v>0</v>
      </c>
      <c r="C80" s="82">
        <f t="shared" ref="C80:H80" si="32">(B80/B$65)*C$65</f>
        <v>0</v>
      </c>
      <c r="D80" s="82">
        <f t="shared" si="32"/>
        <v>0</v>
      </c>
      <c r="E80" s="82">
        <f t="shared" si="32"/>
        <v>0</v>
      </c>
      <c r="F80" s="82">
        <f t="shared" si="32"/>
        <v>0</v>
      </c>
      <c r="G80" s="82">
        <f t="shared" si="32"/>
        <v>0</v>
      </c>
      <c r="H80" s="82">
        <f t="shared" si="32"/>
        <v>0</v>
      </c>
    </row>
    <row r="81" spans="1:9" ht="14.45" hidden="1" x14ac:dyDescent="0.35">
      <c r="A81" s="47">
        <f t="shared" si="16"/>
        <v>0</v>
      </c>
      <c r="B81" s="82">
        <f t="shared" si="31"/>
        <v>0</v>
      </c>
      <c r="C81" s="82">
        <f t="shared" ref="C81:H81" si="33">(B81/B$65)*C$65</f>
        <v>0</v>
      </c>
      <c r="D81" s="82">
        <f t="shared" si="33"/>
        <v>0</v>
      </c>
      <c r="E81" s="82">
        <f t="shared" si="33"/>
        <v>0</v>
      </c>
      <c r="F81" s="82">
        <f t="shared" si="33"/>
        <v>0</v>
      </c>
      <c r="G81" s="82">
        <f t="shared" si="33"/>
        <v>0</v>
      </c>
      <c r="H81" s="82">
        <f t="shared" si="33"/>
        <v>0</v>
      </c>
    </row>
    <row r="82" spans="1:9" ht="14.45" hidden="1" x14ac:dyDescent="0.35">
      <c r="A82" s="47">
        <f t="shared" si="16"/>
        <v>0</v>
      </c>
      <c r="B82" s="82">
        <f t="shared" si="31"/>
        <v>0</v>
      </c>
      <c r="C82" s="82">
        <f t="shared" ref="C82:H82" si="34">(B82/B$65)*C$65</f>
        <v>0</v>
      </c>
      <c r="D82" s="82">
        <f t="shared" si="34"/>
        <v>0</v>
      </c>
      <c r="E82" s="82">
        <f t="shared" si="34"/>
        <v>0</v>
      </c>
      <c r="F82" s="82">
        <f t="shared" si="34"/>
        <v>0</v>
      </c>
      <c r="G82" s="82">
        <f t="shared" si="34"/>
        <v>0</v>
      </c>
      <c r="H82" s="82">
        <f t="shared" si="34"/>
        <v>0</v>
      </c>
    </row>
    <row r="83" spans="1:9" ht="14.45" hidden="1" x14ac:dyDescent="0.35">
      <c r="A83" s="47">
        <f t="shared" si="16"/>
        <v>0</v>
      </c>
      <c r="B83" s="82">
        <f t="shared" si="31"/>
        <v>0</v>
      </c>
      <c r="C83" s="82">
        <f t="shared" ref="C83:H83" si="35">(B83/B$65)*C$65</f>
        <v>0</v>
      </c>
      <c r="D83" s="82">
        <f t="shared" si="35"/>
        <v>0</v>
      </c>
      <c r="E83" s="82">
        <f t="shared" si="35"/>
        <v>0</v>
      </c>
      <c r="F83" s="82">
        <f t="shared" si="35"/>
        <v>0</v>
      </c>
      <c r="G83" s="82">
        <f t="shared" si="35"/>
        <v>0</v>
      </c>
      <c r="H83" s="82">
        <f t="shared" si="35"/>
        <v>0</v>
      </c>
    </row>
    <row r="84" spans="1:9" ht="14.45" hidden="1" x14ac:dyDescent="0.35">
      <c r="A84" s="47">
        <f t="shared" si="16"/>
        <v>0</v>
      </c>
      <c r="B84" s="82">
        <f>H33*$B$65</f>
        <v>0</v>
      </c>
      <c r="C84" s="82">
        <f t="shared" ref="C84:H84" si="36">(B84/B$65)*C$65</f>
        <v>0</v>
      </c>
      <c r="D84" s="82">
        <f t="shared" si="36"/>
        <v>0</v>
      </c>
      <c r="E84" s="82">
        <f t="shared" si="36"/>
        <v>0</v>
      </c>
      <c r="F84" s="82">
        <f t="shared" si="36"/>
        <v>0</v>
      </c>
      <c r="G84" s="82">
        <f t="shared" si="36"/>
        <v>0</v>
      </c>
      <c r="H84" s="82">
        <f t="shared" si="36"/>
        <v>0</v>
      </c>
    </row>
    <row r="85" spans="1:9" ht="14.45" hidden="1" x14ac:dyDescent="0.35">
      <c r="A85" s="47">
        <f t="shared" si="16"/>
        <v>0</v>
      </c>
      <c r="B85" s="82">
        <f>H34*$B$65</f>
        <v>0</v>
      </c>
      <c r="C85" s="82">
        <f t="shared" ref="C85:H85" si="37">(B85/B$65)*C$65</f>
        <v>0</v>
      </c>
      <c r="D85" s="82">
        <f t="shared" si="37"/>
        <v>0</v>
      </c>
      <c r="E85" s="82">
        <f t="shared" si="37"/>
        <v>0</v>
      </c>
      <c r="F85" s="82">
        <f t="shared" si="37"/>
        <v>0</v>
      </c>
      <c r="G85" s="82">
        <f t="shared" si="37"/>
        <v>0</v>
      </c>
      <c r="H85" s="82">
        <f t="shared" si="37"/>
        <v>0</v>
      </c>
    </row>
    <row r="86" spans="1:9" ht="14.45" hidden="1" x14ac:dyDescent="0.35">
      <c r="A86" s="47">
        <f t="shared" si="16"/>
        <v>0</v>
      </c>
      <c r="B86" s="82">
        <f>H35*$B$65</f>
        <v>0</v>
      </c>
      <c r="C86" s="82">
        <f t="shared" ref="C86:H86" si="38">(B86/B$65)*C$65</f>
        <v>0</v>
      </c>
      <c r="D86" s="82">
        <f t="shared" si="38"/>
        <v>0</v>
      </c>
      <c r="E86" s="82">
        <f t="shared" si="38"/>
        <v>0</v>
      </c>
      <c r="F86" s="82">
        <f t="shared" si="38"/>
        <v>0</v>
      </c>
      <c r="G86" s="82">
        <f t="shared" si="38"/>
        <v>0</v>
      </c>
      <c r="H86" s="82">
        <f t="shared" si="38"/>
        <v>0</v>
      </c>
    </row>
    <row r="87" spans="1:9" ht="14.45" hidden="1" x14ac:dyDescent="0.35">
      <c r="A87" s="47">
        <f t="shared" si="16"/>
        <v>0</v>
      </c>
      <c r="B87" s="82">
        <f>H36*$B$65</f>
        <v>0</v>
      </c>
      <c r="C87" s="82">
        <f t="shared" ref="C87:H87" si="39">(B87/B$65)*C$65</f>
        <v>0</v>
      </c>
      <c r="D87" s="82">
        <f t="shared" si="39"/>
        <v>0</v>
      </c>
      <c r="E87" s="82">
        <f t="shared" si="39"/>
        <v>0</v>
      </c>
      <c r="F87" s="82">
        <f t="shared" si="39"/>
        <v>0</v>
      </c>
      <c r="G87" s="82">
        <f t="shared" si="39"/>
        <v>0</v>
      </c>
      <c r="H87" s="82">
        <f t="shared" si="39"/>
        <v>0</v>
      </c>
    </row>
    <row r="88" spans="1:9" x14ac:dyDescent="0.25">
      <c r="B88" s="72"/>
      <c r="C88" s="72"/>
      <c r="D88" s="72"/>
      <c r="E88" s="72"/>
      <c r="F88" s="72"/>
      <c r="G88" s="72"/>
      <c r="H88" s="72"/>
      <c r="I88" s="72"/>
    </row>
    <row r="89" spans="1:9" x14ac:dyDescent="0.25">
      <c r="A89" s="477" t="s">
        <v>531</v>
      </c>
      <c r="B89" s="478"/>
      <c r="C89" s="478"/>
      <c r="D89" s="478"/>
      <c r="E89" s="478"/>
      <c r="F89" s="478"/>
      <c r="G89" s="478"/>
      <c r="H89" s="479"/>
    </row>
    <row r="90" spans="1:9" x14ac:dyDescent="0.25">
      <c r="A90" s="466" t="s">
        <v>0</v>
      </c>
      <c r="B90" s="156">
        <v>9.9999999999999994E-30</v>
      </c>
      <c r="C90" s="156">
        <v>9.9999999999999994E-30</v>
      </c>
      <c r="D90" s="156">
        <v>9.9999999999999994E-30</v>
      </c>
      <c r="E90" s="156">
        <v>9.9999999999999994E-30</v>
      </c>
      <c r="F90" s="156">
        <v>9.9999999999999994E-30</v>
      </c>
      <c r="G90" s="156">
        <v>9.9999999999999994E-30</v>
      </c>
      <c r="H90" s="156">
        <v>9.9999999999999994E-30</v>
      </c>
    </row>
    <row r="91" spans="1:9" x14ac:dyDescent="0.25">
      <c r="A91" s="467"/>
      <c r="B91" s="113" t="s">
        <v>2</v>
      </c>
      <c r="C91" s="113" t="s">
        <v>3</v>
      </c>
      <c r="D91" s="113" t="s">
        <v>4</v>
      </c>
      <c r="E91" s="113" t="s">
        <v>5</v>
      </c>
      <c r="F91" s="113" t="s">
        <v>6</v>
      </c>
      <c r="G91" s="113" t="s">
        <v>166</v>
      </c>
      <c r="H91" s="113" t="s">
        <v>165</v>
      </c>
    </row>
    <row r="92" spans="1:9" s="158" customFormat="1" x14ac:dyDescent="0.25">
      <c r="A92" s="47" t="str">
        <f t="shared" ref="A92:A112" si="40">A67</f>
        <v>Maize</v>
      </c>
      <c r="B92" s="82">
        <f t="shared" ref="B92:B100" si="41">D14*$B$90</f>
        <v>1.4000000000000001E-26</v>
      </c>
      <c r="C92" s="82">
        <f t="shared" ref="C92:H92" si="42">(B92/B$90)*C$90</f>
        <v>1.4000000000000001E-26</v>
      </c>
      <c r="D92" s="82">
        <f t="shared" si="42"/>
        <v>1.4000000000000001E-26</v>
      </c>
      <c r="E92" s="82">
        <f t="shared" si="42"/>
        <v>1.4000000000000001E-26</v>
      </c>
      <c r="F92" s="82">
        <f t="shared" si="42"/>
        <v>1.4000000000000001E-26</v>
      </c>
      <c r="G92" s="82">
        <f t="shared" si="42"/>
        <v>1.4000000000000001E-26</v>
      </c>
      <c r="H92" s="82">
        <f t="shared" si="42"/>
        <v>1.4000000000000001E-26</v>
      </c>
    </row>
    <row r="93" spans="1:9" x14ac:dyDescent="0.25">
      <c r="A93" s="47" t="str">
        <f t="shared" si="40"/>
        <v>Red Gram/Tur</v>
      </c>
      <c r="B93" s="82">
        <f t="shared" si="41"/>
        <v>2.24E-26</v>
      </c>
      <c r="C93" s="82">
        <f t="shared" ref="C93:C113" si="43">(B93/B$90)*C$90</f>
        <v>2.24E-26</v>
      </c>
      <c r="D93" s="82">
        <f>(C93/C90)*D90</f>
        <v>2.24E-26</v>
      </c>
      <c r="E93" s="82">
        <f t="shared" ref="E93:G93" si="44">(D93/D90)*E90</f>
        <v>2.24E-26</v>
      </c>
      <c r="F93" s="82">
        <f t="shared" si="44"/>
        <v>2.24E-26</v>
      </c>
      <c r="G93" s="82">
        <f t="shared" si="44"/>
        <v>2.24E-26</v>
      </c>
      <c r="H93" s="82">
        <f>(G93/G90)*H90</f>
        <v>2.24E-26</v>
      </c>
    </row>
    <row r="94" spans="1:9" x14ac:dyDescent="0.25">
      <c r="A94" s="47" t="str">
        <f t="shared" si="40"/>
        <v>Bajra</v>
      </c>
      <c r="B94" s="82">
        <f t="shared" si="41"/>
        <v>5.5999999999999999E-27</v>
      </c>
      <c r="C94" s="82">
        <f t="shared" si="43"/>
        <v>5.5999999999999999E-27</v>
      </c>
      <c r="D94" s="82">
        <f t="shared" ref="D94:H103" si="45">(C94/C$90)*D$90</f>
        <v>5.5999999999999999E-27</v>
      </c>
      <c r="E94" s="82">
        <f t="shared" si="45"/>
        <v>5.5999999999999999E-27</v>
      </c>
      <c r="F94" s="82">
        <f t="shared" si="45"/>
        <v>5.5999999999999999E-27</v>
      </c>
      <c r="G94" s="82">
        <f t="shared" si="45"/>
        <v>5.5999999999999999E-27</v>
      </c>
      <c r="H94" s="82">
        <f t="shared" si="45"/>
        <v>5.5999999999999999E-27</v>
      </c>
    </row>
    <row r="95" spans="1:9" ht="14.45" hidden="1" x14ac:dyDescent="0.35">
      <c r="A95" s="47">
        <f t="shared" si="40"/>
        <v>0</v>
      </c>
      <c r="B95" s="82">
        <f t="shared" si="41"/>
        <v>0</v>
      </c>
      <c r="C95" s="82">
        <f t="shared" si="43"/>
        <v>0</v>
      </c>
      <c r="D95" s="82">
        <f t="shared" si="45"/>
        <v>0</v>
      </c>
      <c r="E95" s="82">
        <f t="shared" si="45"/>
        <v>0</v>
      </c>
      <c r="F95" s="82">
        <f t="shared" si="45"/>
        <v>0</v>
      </c>
      <c r="G95" s="82">
        <f t="shared" si="45"/>
        <v>0</v>
      </c>
      <c r="H95" s="82">
        <f t="shared" si="45"/>
        <v>0</v>
      </c>
    </row>
    <row r="96" spans="1:9" ht="14.45" hidden="1" x14ac:dyDescent="0.35">
      <c r="A96" s="47">
        <f t="shared" si="40"/>
        <v>0</v>
      </c>
      <c r="B96" s="82">
        <f t="shared" si="41"/>
        <v>0</v>
      </c>
      <c r="C96" s="82">
        <f t="shared" si="43"/>
        <v>0</v>
      </c>
      <c r="D96" s="82">
        <f t="shared" si="45"/>
        <v>0</v>
      </c>
      <c r="E96" s="82">
        <f t="shared" si="45"/>
        <v>0</v>
      </c>
      <c r="F96" s="82">
        <f t="shared" si="45"/>
        <v>0</v>
      </c>
      <c r="G96" s="82">
        <f t="shared" si="45"/>
        <v>0</v>
      </c>
      <c r="H96" s="82">
        <f t="shared" si="45"/>
        <v>0</v>
      </c>
    </row>
    <row r="97" spans="1:8" ht="14.45" hidden="1" x14ac:dyDescent="0.35">
      <c r="A97" s="47">
        <f t="shared" si="40"/>
        <v>0</v>
      </c>
      <c r="B97" s="82">
        <f t="shared" si="41"/>
        <v>0</v>
      </c>
      <c r="C97" s="82">
        <f t="shared" si="43"/>
        <v>0</v>
      </c>
      <c r="D97" s="82">
        <f t="shared" si="45"/>
        <v>0</v>
      </c>
      <c r="E97" s="82">
        <f t="shared" si="45"/>
        <v>0</v>
      </c>
      <c r="F97" s="82">
        <f t="shared" si="45"/>
        <v>0</v>
      </c>
      <c r="G97" s="82">
        <f t="shared" si="45"/>
        <v>0</v>
      </c>
      <c r="H97" s="82">
        <f t="shared" si="45"/>
        <v>0</v>
      </c>
    </row>
    <row r="98" spans="1:8" ht="14.45" hidden="1" x14ac:dyDescent="0.35">
      <c r="A98" s="47">
        <f t="shared" si="40"/>
        <v>0</v>
      </c>
      <c r="B98" s="82">
        <f t="shared" si="41"/>
        <v>0</v>
      </c>
      <c r="C98" s="82">
        <f t="shared" si="43"/>
        <v>0</v>
      </c>
      <c r="D98" s="82">
        <f t="shared" si="45"/>
        <v>0</v>
      </c>
      <c r="E98" s="82">
        <f t="shared" si="45"/>
        <v>0</v>
      </c>
      <c r="F98" s="82">
        <f t="shared" si="45"/>
        <v>0</v>
      </c>
      <c r="G98" s="82">
        <f t="shared" si="45"/>
        <v>0</v>
      </c>
      <c r="H98" s="82">
        <f t="shared" si="45"/>
        <v>0</v>
      </c>
    </row>
    <row r="99" spans="1:8" ht="14.45" hidden="1" x14ac:dyDescent="0.35">
      <c r="A99" s="47">
        <f t="shared" si="40"/>
        <v>0</v>
      </c>
      <c r="B99" s="82">
        <f t="shared" si="41"/>
        <v>0</v>
      </c>
      <c r="C99" s="82">
        <f t="shared" si="43"/>
        <v>0</v>
      </c>
      <c r="D99" s="82">
        <f t="shared" si="45"/>
        <v>0</v>
      </c>
      <c r="E99" s="82">
        <f t="shared" si="45"/>
        <v>0</v>
      </c>
      <c r="F99" s="82">
        <f t="shared" si="45"/>
        <v>0</v>
      </c>
      <c r="G99" s="82">
        <f t="shared" si="45"/>
        <v>0</v>
      </c>
      <c r="H99" s="82">
        <f t="shared" si="45"/>
        <v>0</v>
      </c>
    </row>
    <row r="100" spans="1:8" ht="14.45" hidden="1" x14ac:dyDescent="0.35">
      <c r="A100" s="47">
        <f t="shared" si="40"/>
        <v>0</v>
      </c>
      <c r="B100" s="82">
        <f t="shared" si="41"/>
        <v>0</v>
      </c>
      <c r="C100" s="82">
        <f t="shared" si="43"/>
        <v>0</v>
      </c>
      <c r="D100" s="82">
        <f t="shared" si="45"/>
        <v>0</v>
      </c>
      <c r="E100" s="82">
        <f t="shared" si="45"/>
        <v>0</v>
      </c>
      <c r="F100" s="82">
        <f t="shared" si="45"/>
        <v>0</v>
      </c>
      <c r="G100" s="82">
        <f t="shared" si="45"/>
        <v>0</v>
      </c>
      <c r="H100" s="82">
        <f t="shared" si="45"/>
        <v>0</v>
      </c>
    </row>
    <row r="101" spans="1:8" x14ac:dyDescent="0.25">
      <c r="A101" s="47" t="str">
        <f t="shared" si="40"/>
        <v>Wheat</v>
      </c>
      <c r="B101" s="82">
        <f t="shared" ref="B101:B108" si="46">D24*$B$90</f>
        <v>4.4799999999999997E-27</v>
      </c>
      <c r="C101" s="82">
        <f t="shared" si="43"/>
        <v>4.4799999999999997E-27</v>
      </c>
      <c r="D101" s="82">
        <f t="shared" si="45"/>
        <v>4.4799999999999997E-27</v>
      </c>
      <c r="E101" s="82">
        <f t="shared" si="45"/>
        <v>4.4799999999999997E-27</v>
      </c>
      <c r="F101" s="82">
        <f t="shared" si="45"/>
        <v>4.4799999999999997E-27</v>
      </c>
      <c r="G101" s="82">
        <f t="shared" si="45"/>
        <v>4.4799999999999997E-27</v>
      </c>
      <c r="H101" s="82">
        <f t="shared" si="45"/>
        <v>4.4799999999999997E-27</v>
      </c>
    </row>
    <row r="102" spans="1:8" x14ac:dyDescent="0.25">
      <c r="A102" s="47" t="str">
        <f t="shared" si="40"/>
        <v>Bengal Gram/Channa</v>
      </c>
      <c r="B102" s="82">
        <f t="shared" si="46"/>
        <v>1.7919999999999999E-26</v>
      </c>
      <c r="C102" s="82">
        <f t="shared" si="43"/>
        <v>1.7919999999999999E-26</v>
      </c>
      <c r="D102" s="82">
        <f t="shared" si="45"/>
        <v>1.7919999999999999E-26</v>
      </c>
      <c r="E102" s="82">
        <f t="shared" si="45"/>
        <v>1.7919999999999999E-26</v>
      </c>
      <c r="F102" s="82">
        <f t="shared" si="45"/>
        <v>1.7919999999999999E-26</v>
      </c>
      <c r="G102" s="82">
        <f t="shared" si="45"/>
        <v>1.7919999999999999E-26</v>
      </c>
      <c r="H102" s="82">
        <f t="shared" si="45"/>
        <v>1.7919999999999999E-26</v>
      </c>
    </row>
    <row r="103" spans="1:8" x14ac:dyDescent="0.25">
      <c r="A103" s="47" t="str">
        <f t="shared" si="40"/>
        <v>Jawar</v>
      </c>
      <c r="B103" s="82">
        <f t="shared" si="46"/>
        <v>6.7200000000000002E-27</v>
      </c>
      <c r="C103" s="82">
        <f t="shared" si="43"/>
        <v>6.7200000000000002E-27</v>
      </c>
      <c r="D103" s="82">
        <f t="shared" si="45"/>
        <v>6.7200000000000002E-27</v>
      </c>
      <c r="E103" s="82">
        <f t="shared" si="45"/>
        <v>6.7200000000000002E-27</v>
      </c>
      <c r="F103" s="82">
        <f t="shared" si="45"/>
        <v>6.7200000000000002E-27</v>
      </c>
      <c r="G103" s="82">
        <f t="shared" si="45"/>
        <v>6.7200000000000002E-27</v>
      </c>
      <c r="H103" s="82">
        <f t="shared" si="45"/>
        <v>6.7200000000000002E-27</v>
      </c>
    </row>
    <row r="104" spans="1:8" x14ac:dyDescent="0.25">
      <c r="A104" s="47" t="str">
        <f t="shared" si="40"/>
        <v>Maize</v>
      </c>
      <c r="B104" s="82">
        <f t="shared" si="46"/>
        <v>8.9599999999999993E-27</v>
      </c>
      <c r="C104" s="82">
        <f t="shared" si="43"/>
        <v>8.9599999999999993E-27</v>
      </c>
      <c r="D104" s="82">
        <f t="shared" ref="D104:H113" si="47">(C104/C$90)*D$90</f>
        <v>8.9599999999999993E-27</v>
      </c>
      <c r="E104" s="82">
        <f t="shared" si="47"/>
        <v>8.9599999999999993E-27</v>
      </c>
      <c r="F104" s="82">
        <f t="shared" si="47"/>
        <v>8.9599999999999993E-27</v>
      </c>
      <c r="G104" s="82">
        <f t="shared" si="47"/>
        <v>8.9599999999999993E-27</v>
      </c>
      <c r="H104" s="82">
        <f t="shared" si="47"/>
        <v>8.9599999999999993E-27</v>
      </c>
    </row>
    <row r="105" spans="1:8" ht="14.45" hidden="1" x14ac:dyDescent="0.35">
      <c r="A105" s="47">
        <f t="shared" si="40"/>
        <v>0</v>
      </c>
      <c r="B105" s="82">
        <f t="shared" si="46"/>
        <v>0</v>
      </c>
      <c r="C105" s="82">
        <f t="shared" si="43"/>
        <v>0</v>
      </c>
      <c r="D105" s="82">
        <f t="shared" si="47"/>
        <v>0</v>
      </c>
      <c r="E105" s="82">
        <f t="shared" si="47"/>
        <v>0</v>
      </c>
      <c r="F105" s="82">
        <f t="shared" si="47"/>
        <v>0</v>
      </c>
      <c r="G105" s="82">
        <f t="shared" si="47"/>
        <v>0</v>
      </c>
      <c r="H105" s="82">
        <f t="shared" si="47"/>
        <v>0</v>
      </c>
    </row>
    <row r="106" spans="1:8" ht="14.45" hidden="1" x14ac:dyDescent="0.35">
      <c r="A106" s="47">
        <f t="shared" si="40"/>
        <v>0</v>
      </c>
      <c r="B106" s="82">
        <f t="shared" si="46"/>
        <v>0</v>
      </c>
      <c r="C106" s="82">
        <f t="shared" si="43"/>
        <v>0</v>
      </c>
      <c r="D106" s="82">
        <f t="shared" si="47"/>
        <v>0</v>
      </c>
      <c r="E106" s="82">
        <f t="shared" si="47"/>
        <v>0</v>
      </c>
      <c r="F106" s="82">
        <f t="shared" si="47"/>
        <v>0</v>
      </c>
      <c r="G106" s="82">
        <f t="shared" si="47"/>
        <v>0</v>
      </c>
      <c r="H106" s="82">
        <f t="shared" si="47"/>
        <v>0</v>
      </c>
    </row>
    <row r="107" spans="1:8" ht="14.45" hidden="1" x14ac:dyDescent="0.35">
      <c r="A107" s="47">
        <f t="shared" si="40"/>
        <v>0</v>
      </c>
      <c r="B107" s="82">
        <f t="shared" si="46"/>
        <v>0</v>
      </c>
      <c r="C107" s="82">
        <f t="shared" si="43"/>
        <v>0</v>
      </c>
      <c r="D107" s="82">
        <f t="shared" si="47"/>
        <v>0</v>
      </c>
      <c r="E107" s="82">
        <f t="shared" si="47"/>
        <v>0</v>
      </c>
      <c r="F107" s="82">
        <f t="shared" si="47"/>
        <v>0</v>
      </c>
      <c r="G107" s="82">
        <f t="shared" si="47"/>
        <v>0</v>
      </c>
      <c r="H107" s="82">
        <f t="shared" si="47"/>
        <v>0</v>
      </c>
    </row>
    <row r="108" spans="1:8" ht="14.45" hidden="1" x14ac:dyDescent="0.35">
      <c r="A108" s="47">
        <f t="shared" si="40"/>
        <v>0</v>
      </c>
      <c r="B108" s="82">
        <f t="shared" si="46"/>
        <v>0</v>
      </c>
      <c r="C108" s="82">
        <f t="shared" si="43"/>
        <v>0</v>
      </c>
      <c r="D108" s="82">
        <f t="shared" si="47"/>
        <v>0</v>
      </c>
      <c r="E108" s="82">
        <f t="shared" si="47"/>
        <v>0</v>
      </c>
      <c r="F108" s="82">
        <f t="shared" si="47"/>
        <v>0</v>
      </c>
      <c r="G108" s="82">
        <f t="shared" si="47"/>
        <v>0</v>
      </c>
      <c r="H108" s="82">
        <f t="shared" si="47"/>
        <v>0</v>
      </c>
    </row>
    <row r="109" spans="1:8" ht="14.45" hidden="1" x14ac:dyDescent="0.35">
      <c r="A109" s="47">
        <f t="shared" si="40"/>
        <v>0</v>
      </c>
      <c r="B109" s="82">
        <f>D33*$B$90</f>
        <v>0</v>
      </c>
      <c r="C109" s="82">
        <f t="shared" si="43"/>
        <v>0</v>
      </c>
      <c r="D109" s="82">
        <f t="shared" si="47"/>
        <v>0</v>
      </c>
      <c r="E109" s="82">
        <f t="shared" si="47"/>
        <v>0</v>
      </c>
      <c r="F109" s="82">
        <f t="shared" si="47"/>
        <v>0</v>
      </c>
      <c r="G109" s="82">
        <f t="shared" si="47"/>
        <v>0</v>
      </c>
      <c r="H109" s="82">
        <f t="shared" si="47"/>
        <v>0</v>
      </c>
    </row>
    <row r="110" spans="1:8" ht="14.45" hidden="1" x14ac:dyDescent="0.35">
      <c r="A110" s="47">
        <f t="shared" si="40"/>
        <v>0</v>
      </c>
      <c r="B110" s="82">
        <f>D34*$B$90</f>
        <v>0</v>
      </c>
      <c r="C110" s="82">
        <f t="shared" si="43"/>
        <v>0</v>
      </c>
      <c r="D110" s="82">
        <f t="shared" si="47"/>
        <v>0</v>
      </c>
      <c r="E110" s="82">
        <f t="shared" si="47"/>
        <v>0</v>
      </c>
      <c r="F110" s="82">
        <f t="shared" si="47"/>
        <v>0</v>
      </c>
      <c r="G110" s="82">
        <f t="shared" si="47"/>
        <v>0</v>
      </c>
      <c r="H110" s="82">
        <f t="shared" si="47"/>
        <v>0</v>
      </c>
    </row>
    <row r="111" spans="1:8" ht="14.45" hidden="1" x14ac:dyDescent="0.35">
      <c r="A111" s="47">
        <f t="shared" si="40"/>
        <v>0</v>
      </c>
      <c r="B111" s="82">
        <f>D34*$B$90</f>
        <v>0</v>
      </c>
      <c r="C111" s="82">
        <f t="shared" si="43"/>
        <v>0</v>
      </c>
      <c r="D111" s="82">
        <f t="shared" si="47"/>
        <v>0</v>
      </c>
      <c r="E111" s="82">
        <f t="shared" si="47"/>
        <v>0</v>
      </c>
      <c r="F111" s="82">
        <f t="shared" si="47"/>
        <v>0</v>
      </c>
      <c r="G111" s="82">
        <f t="shared" si="47"/>
        <v>0</v>
      </c>
      <c r="H111" s="82">
        <f t="shared" si="47"/>
        <v>0</v>
      </c>
    </row>
    <row r="112" spans="1:8" ht="14.45" hidden="1" x14ac:dyDescent="0.35">
      <c r="A112" s="47">
        <f t="shared" si="40"/>
        <v>0</v>
      </c>
      <c r="B112" s="82">
        <f>D36*$B$90</f>
        <v>0</v>
      </c>
      <c r="C112" s="82">
        <f t="shared" si="43"/>
        <v>0</v>
      </c>
      <c r="D112" s="82">
        <f t="shared" si="47"/>
        <v>0</v>
      </c>
      <c r="E112" s="82">
        <f t="shared" si="47"/>
        <v>0</v>
      </c>
      <c r="F112" s="82">
        <f t="shared" si="47"/>
        <v>0</v>
      </c>
      <c r="G112" s="82">
        <f t="shared" si="47"/>
        <v>0</v>
      </c>
      <c r="H112" s="82">
        <f t="shared" si="47"/>
        <v>0</v>
      </c>
    </row>
    <row r="113" spans="1:9" ht="14.45" hidden="1" x14ac:dyDescent="0.35">
      <c r="A113" s="47"/>
      <c r="B113" s="82">
        <f>D37*$B$90</f>
        <v>0</v>
      </c>
      <c r="C113" s="82">
        <f t="shared" si="43"/>
        <v>0</v>
      </c>
      <c r="D113" s="82">
        <f t="shared" si="47"/>
        <v>0</v>
      </c>
      <c r="E113" s="82">
        <f t="shared" si="47"/>
        <v>0</v>
      </c>
      <c r="F113" s="82">
        <f t="shared" si="47"/>
        <v>0</v>
      </c>
      <c r="G113" s="82">
        <f t="shared" si="47"/>
        <v>0</v>
      </c>
      <c r="H113" s="82">
        <f t="shared" si="47"/>
        <v>0</v>
      </c>
    </row>
    <row r="115" spans="1:9" x14ac:dyDescent="0.25">
      <c r="C115" s="74"/>
      <c r="D115" s="75"/>
      <c r="E115" s="75"/>
      <c r="F115" s="75"/>
      <c r="G115" s="75"/>
      <c r="H115" s="75"/>
      <c r="I115" s="75"/>
    </row>
    <row r="116" spans="1:9" x14ac:dyDescent="0.25">
      <c r="A116" s="39" t="s">
        <v>500</v>
      </c>
      <c r="C116" s="130"/>
      <c r="D116" s="130"/>
      <c r="E116" s="130"/>
      <c r="F116" s="130"/>
      <c r="G116" s="130"/>
      <c r="H116" s="130"/>
      <c r="I116" s="130"/>
    </row>
    <row r="117" spans="1:9" x14ac:dyDescent="0.25">
      <c r="A117" s="39">
        <v>1</v>
      </c>
      <c r="B117" s="39" t="s">
        <v>552</v>
      </c>
    </row>
    <row r="118" spans="1:9" x14ac:dyDescent="0.25">
      <c r="A118" s="39">
        <v>2</v>
      </c>
      <c r="B118" s="39" t="s">
        <v>553</v>
      </c>
    </row>
    <row r="119" spans="1:9" x14ac:dyDescent="0.25">
      <c r="A119" s="39">
        <v>3</v>
      </c>
      <c r="B119" s="39" t="s">
        <v>503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sqref="A1:H1"/>
    </sheetView>
  </sheetViews>
  <sheetFormatPr defaultColWidth="8.7109375" defaultRowHeight="15" x14ac:dyDescent="0.25"/>
  <cols>
    <col min="1" max="1" width="44.28515625" style="1" bestFit="1" customWidth="1"/>
    <col min="2" max="2" width="23.28515625" style="1" bestFit="1" customWidth="1"/>
    <col min="3" max="3" width="11.5703125" style="1" customWidth="1"/>
    <col min="4" max="4" width="18.85546875" style="1" customWidth="1"/>
    <col min="5" max="5" width="15.140625" style="1" customWidth="1"/>
    <col min="6" max="7" width="15.85546875" style="1" customWidth="1"/>
    <col min="8" max="8" width="21.28515625" style="1" customWidth="1"/>
    <col min="9" max="9" width="11.42578125" style="1" bestFit="1" customWidth="1"/>
    <col min="10" max="10" width="9.140625" style="1" bestFit="1" customWidth="1"/>
    <col min="11" max="16384" width="8.7109375" style="1"/>
  </cols>
  <sheetData>
    <row r="1" spans="1:26" ht="14.45" x14ac:dyDescent="0.35">
      <c r="A1" s="488" t="s">
        <v>472</v>
      </c>
      <c r="B1" s="488"/>
      <c r="C1" s="488"/>
      <c r="D1" s="488"/>
      <c r="E1" s="488"/>
      <c r="F1" s="488"/>
      <c r="G1" s="488"/>
      <c r="H1" s="488"/>
    </row>
    <row r="2" spans="1:26" ht="14.45" x14ac:dyDescent="0.35">
      <c r="B2" s="13"/>
    </row>
    <row r="3" spans="1:26" ht="14.45" x14ac:dyDescent="0.35">
      <c r="A3" s="487" t="s">
        <v>532</v>
      </c>
      <c r="B3" s="487"/>
    </row>
    <row r="4" spans="1:26" ht="14.45" x14ac:dyDescent="0.35">
      <c r="A4" s="5" t="s">
        <v>0</v>
      </c>
      <c r="B4" s="6" t="s">
        <v>367</v>
      </c>
      <c r="C4" s="16"/>
      <c r="D4" s="16"/>
      <c r="E4" s="16"/>
      <c r="F4" s="16"/>
      <c r="G4" s="16"/>
      <c r="H4" s="16"/>
    </row>
    <row r="5" spans="1:26" ht="14.45" x14ac:dyDescent="0.35">
      <c r="A5" s="7" t="s">
        <v>465</v>
      </c>
      <c r="B5" s="3"/>
      <c r="C5" s="17"/>
      <c r="D5" s="18"/>
      <c r="E5" s="18"/>
      <c r="F5" s="18"/>
      <c r="G5" s="18"/>
      <c r="H5" s="18"/>
    </row>
    <row r="6" spans="1:26" ht="14.45" x14ac:dyDescent="0.35">
      <c r="A6" s="7" t="s">
        <v>466</v>
      </c>
      <c r="B6" s="3"/>
      <c r="C6" s="17"/>
      <c r="D6" s="18"/>
      <c r="E6" s="18"/>
      <c r="F6" s="18"/>
      <c r="G6" s="18"/>
      <c r="H6" s="18"/>
    </row>
    <row r="7" spans="1:26" ht="14.45" x14ac:dyDescent="0.35">
      <c r="A7" s="10" t="s">
        <v>1</v>
      </c>
      <c r="B7" s="12">
        <f>B5+B6</f>
        <v>0</v>
      </c>
      <c r="C7" s="19"/>
      <c r="D7" s="20"/>
      <c r="E7" s="20"/>
      <c r="F7" s="20"/>
      <c r="G7" s="20"/>
      <c r="H7" s="20"/>
    </row>
    <row r="8" spans="1:26" ht="14.45" x14ac:dyDescent="0.35">
      <c r="A8" s="10" t="s">
        <v>467</v>
      </c>
      <c r="B8" s="4">
        <v>1</v>
      </c>
      <c r="C8" s="19"/>
      <c r="D8" s="19"/>
      <c r="E8" s="19"/>
      <c r="F8" s="19"/>
      <c r="G8" s="19"/>
      <c r="H8" s="19"/>
    </row>
    <row r="9" spans="1:26" ht="14.45" x14ac:dyDescent="0.35">
      <c r="A9" s="10" t="s">
        <v>468</v>
      </c>
      <c r="B9" s="12">
        <f>B7*B8</f>
        <v>0</v>
      </c>
      <c r="C9" s="20"/>
      <c r="D9" s="20"/>
      <c r="E9" s="20"/>
      <c r="F9" s="20"/>
      <c r="G9" s="20"/>
      <c r="H9" s="20"/>
    </row>
    <row r="10" spans="1:26" ht="14.45" x14ac:dyDescent="0.35">
      <c r="J10" s="1" t="s">
        <v>430</v>
      </c>
      <c r="O10" s="1" t="s">
        <v>426</v>
      </c>
      <c r="U10" s="1" t="s">
        <v>427</v>
      </c>
      <c r="Y10" s="1" t="s">
        <v>428</v>
      </c>
      <c r="Z10" s="1" t="s">
        <v>429</v>
      </c>
    </row>
    <row r="11" spans="1:26" ht="14.45" x14ac:dyDescent="0.35">
      <c r="A11" s="488" t="s">
        <v>533</v>
      </c>
      <c r="B11" s="488"/>
      <c r="C11" s="488"/>
      <c r="D11" s="488"/>
      <c r="E11" s="488"/>
      <c r="F11" s="488"/>
      <c r="G11" s="488"/>
      <c r="H11" s="488"/>
      <c r="I11" s="21"/>
      <c r="J11" s="21"/>
      <c r="K11" s="21"/>
      <c r="L11" s="21"/>
      <c r="M11" s="21"/>
      <c r="N11" s="21"/>
      <c r="O11" s="21"/>
      <c r="P11" s="21"/>
    </row>
    <row r="12" spans="1:26" ht="14.45" x14ac:dyDescent="0.35">
      <c r="J12" s="22">
        <v>0.65</v>
      </c>
      <c r="K12" s="23">
        <f>J12+0.05</f>
        <v>0.70000000000000007</v>
      </c>
      <c r="L12" s="23">
        <f t="shared" ref="L12:N12" si="0">K12+0.05</f>
        <v>0.75000000000000011</v>
      </c>
      <c r="M12" s="23">
        <f t="shared" si="0"/>
        <v>0.80000000000000016</v>
      </c>
      <c r="N12" s="23">
        <f t="shared" si="0"/>
        <v>0.8500000000000002</v>
      </c>
      <c r="O12" s="22">
        <v>0.4</v>
      </c>
      <c r="P12" s="22">
        <f>O12+0.05</f>
        <v>0.45</v>
      </c>
      <c r="Q12" s="22">
        <f t="shared" ref="Q12:T12" si="1">P12+0.05</f>
        <v>0.5</v>
      </c>
      <c r="R12" s="22">
        <f t="shared" si="1"/>
        <v>0.55000000000000004</v>
      </c>
      <c r="S12" s="22">
        <f t="shared" si="1"/>
        <v>0.60000000000000009</v>
      </c>
      <c r="T12" s="22">
        <f t="shared" si="1"/>
        <v>0.65000000000000013</v>
      </c>
      <c r="U12" s="22">
        <v>0.1</v>
      </c>
      <c r="V12" s="15">
        <f>U12+0.05</f>
        <v>0.15000000000000002</v>
      </c>
      <c r="W12" s="15">
        <f t="shared" ref="W12:X12" si="2">V12+0.05</f>
        <v>0.2</v>
      </c>
      <c r="X12" s="15">
        <f t="shared" si="2"/>
        <v>0.25</v>
      </c>
    </row>
    <row r="13" spans="1:26" ht="43.5" x14ac:dyDescent="0.35">
      <c r="A13" s="5" t="s">
        <v>370</v>
      </c>
      <c r="B13" s="5" t="s">
        <v>371</v>
      </c>
      <c r="C13" s="14" t="s">
        <v>423</v>
      </c>
      <c r="D13" s="14" t="s">
        <v>431</v>
      </c>
      <c r="E13" s="14" t="s">
        <v>432</v>
      </c>
      <c r="F13" s="14" t="s">
        <v>372</v>
      </c>
      <c r="G13" s="14" t="s">
        <v>598</v>
      </c>
      <c r="H13" s="14" t="s">
        <v>373</v>
      </c>
      <c r="O13" s="24" t="s">
        <v>2</v>
      </c>
      <c r="P13" s="24" t="s">
        <v>3</v>
      </c>
      <c r="Q13" s="24" t="s">
        <v>4</v>
      </c>
      <c r="R13" s="24" t="s">
        <v>5</v>
      </c>
      <c r="S13" s="24" t="s">
        <v>6</v>
      </c>
      <c r="T13" s="24" t="s">
        <v>2</v>
      </c>
      <c r="U13" s="24" t="s">
        <v>3</v>
      </c>
      <c r="V13" s="24" t="s">
        <v>4</v>
      </c>
      <c r="W13" s="24" t="s">
        <v>5</v>
      </c>
      <c r="X13" s="24" t="s">
        <v>6</v>
      </c>
    </row>
    <row r="14" spans="1:26" x14ac:dyDescent="0.25">
      <c r="A14" s="489" t="s">
        <v>374</v>
      </c>
      <c r="B14" s="3" t="s">
        <v>455</v>
      </c>
      <c r="C14" s="25">
        <v>0</v>
      </c>
      <c r="D14" s="7">
        <f t="shared" ref="D14:D40" si="3">$B$9*C14</f>
        <v>0</v>
      </c>
      <c r="E14" s="8">
        <v>15</v>
      </c>
      <c r="F14" s="7">
        <f>D14*E14</f>
        <v>0</v>
      </c>
      <c r="G14" s="9">
        <v>0.1</v>
      </c>
      <c r="H14" s="7">
        <f>(F14-F14*G14)</f>
        <v>0</v>
      </c>
      <c r="J14" s="1">
        <f>$D$14*J12</f>
        <v>0</v>
      </c>
      <c r="K14" s="1">
        <f>$D$14*K12</f>
        <v>0</v>
      </c>
      <c r="L14" s="1">
        <f>$D$14*L12</f>
        <v>0</v>
      </c>
      <c r="M14" s="1">
        <f>$D$14*M12</f>
        <v>0</v>
      </c>
      <c r="N14" s="1">
        <f>$D$14*N12</f>
        <v>0</v>
      </c>
    </row>
    <row r="15" spans="1:26" x14ac:dyDescent="0.25">
      <c r="A15" s="490"/>
      <c r="B15" s="3" t="s">
        <v>456</v>
      </c>
      <c r="C15" s="25">
        <v>0</v>
      </c>
      <c r="D15" s="7">
        <f t="shared" si="3"/>
        <v>0</v>
      </c>
      <c r="E15" s="8">
        <v>7</v>
      </c>
      <c r="F15" s="7">
        <f t="shared" ref="F15:F40" si="4">D15*E15</f>
        <v>0</v>
      </c>
      <c r="G15" s="9">
        <v>0.05</v>
      </c>
      <c r="H15" s="7">
        <f>(F15-F15*G15)</f>
        <v>0</v>
      </c>
    </row>
    <row r="16" spans="1:26" x14ac:dyDescent="0.25">
      <c r="A16" s="490"/>
      <c r="B16" s="3" t="s">
        <v>457</v>
      </c>
      <c r="C16" s="25">
        <v>0</v>
      </c>
      <c r="D16" s="7">
        <f t="shared" si="3"/>
        <v>0</v>
      </c>
      <c r="E16" s="8">
        <v>4</v>
      </c>
      <c r="F16" s="7">
        <f t="shared" si="4"/>
        <v>0</v>
      </c>
      <c r="G16" s="9">
        <v>0</v>
      </c>
      <c r="H16" s="7">
        <f t="shared" ref="H16:H40" si="5">(F16-F16*G16)</f>
        <v>0</v>
      </c>
    </row>
    <row r="17" spans="1:8" x14ac:dyDescent="0.25">
      <c r="A17" s="490"/>
      <c r="B17" s="3" t="s">
        <v>458</v>
      </c>
      <c r="C17" s="25">
        <v>0</v>
      </c>
      <c r="D17" s="7">
        <f t="shared" si="3"/>
        <v>0</v>
      </c>
      <c r="E17" s="8">
        <v>7</v>
      </c>
      <c r="F17" s="7">
        <f t="shared" si="4"/>
        <v>0</v>
      </c>
      <c r="G17" s="9">
        <v>0.02</v>
      </c>
      <c r="H17" s="7">
        <f t="shared" si="5"/>
        <v>0</v>
      </c>
    </row>
    <row r="18" spans="1:8" x14ac:dyDescent="0.25">
      <c r="A18" s="490"/>
      <c r="B18" s="3" t="s">
        <v>460</v>
      </c>
      <c r="C18" s="25">
        <v>0</v>
      </c>
      <c r="D18" s="7">
        <f t="shared" si="3"/>
        <v>0</v>
      </c>
      <c r="E18" s="8">
        <v>20</v>
      </c>
      <c r="F18" s="7">
        <f t="shared" si="4"/>
        <v>0</v>
      </c>
      <c r="G18" s="9">
        <v>0</v>
      </c>
      <c r="H18" s="7">
        <f t="shared" si="5"/>
        <v>0</v>
      </c>
    </row>
    <row r="19" spans="1:8" x14ac:dyDescent="0.25">
      <c r="A19" s="490"/>
      <c r="B19" s="3"/>
      <c r="C19" s="25">
        <v>0</v>
      </c>
      <c r="D19" s="7">
        <f t="shared" si="3"/>
        <v>0</v>
      </c>
      <c r="E19" s="8">
        <v>7</v>
      </c>
      <c r="F19" s="7">
        <f t="shared" si="4"/>
        <v>0</v>
      </c>
      <c r="G19" s="9">
        <v>0.1</v>
      </c>
      <c r="H19" s="7">
        <f t="shared" si="5"/>
        <v>0</v>
      </c>
    </row>
    <row r="20" spans="1:8" x14ac:dyDescent="0.25">
      <c r="A20" s="490"/>
      <c r="B20" s="3"/>
      <c r="C20" s="25">
        <v>0</v>
      </c>
      <c r="D20" s="7">
        <f t="shared" si="3"/>
        <v>0</v>
      </c>
      <c r="E20" s="8">
        <v>6</v>
      </c>
      <c r="F20" s="7">
        <f t="shared" si="4"/>
        <v>0</v>
      </c>
      <c r="G20" s="9">
        <v>0.02</v>
      </c>
      <c r="H20" s="7">
        <f t="shared" si="5"/>
        <v>0</v>
      </c>
    </row>
    <row r="21" spans="1:8" x14ac:dyDescent="0.25">
      <c r="A21" s="490"/>
      <c r="B21" s="3"/>
      <c r="C21" s="25">
        <v>0</v>
      </c>
      <c r="D21" s="7">
        <f t="shared" si="3"/>
        <v>0</v>
      </c>
      <c r="E21" s="8"/>
      <c r="F21" s="7">
        <f t="shared" si="4"/>
        <v>0</v>
      </c>
      <c r="G21" s="9">
        <v>0</v>
      </c>
      <c r="H21" s="7">
        <f t="shared" si="5"/>
        <v>0</v>
      </c>
    </row>
    <row r="22" spans="1:8" x14ac:dyDescent="0.25">
      <c r="A22" s="491"/>
      <c r="B22" s="3"/>
      <c r="C22" s="25">
        <v>0</v>
      </c>
      <c r="D22" s="7">
        <f t="shared" si="3"/>
        <v>0</v>
      </c>
      <c r="E22" s="8"/>
      <c r="F22" s="7">
        <f t="shared" si="4"/>
        <v>0</v>
      </c>
      <c r="G22" s="9">
        <v>0</v>
      </c>
      <c r="H22" s="7">
        <f t="shared" si="5"/>
        <v>0</v>
      </c>
    </row>
    <row r="23" spans="1:8" ht="14.45" x14ac:dyDescent="0.35">
      <c r="A23" s="26" t="s">
        <v>473</v>
      </c>
      <c r="B23" s="27"/>
      <c r="C23" s="28">
        <f>B9*B23</f>
        <v>0</v>
      </c>
      <c r="D23" s="7"/>
      <c r="E23" s="8"/>
      <c r="F23" s="7"/>
      <c r="G23" s="9"/>
      <c r="H23" s="7"/>
    </row>
    <row r="24" spans="1:8" x14ac:dyDescent="0.25">
      <c r="A24" s="489" t="s">
        <v>376</v>
      </c>
      <c r="B24" s="3" t="s">
        <v>455</v>
      </c>
      <c r="C24" s="25">
        <v>0</v>
      </c>
      <c r="D24" s="7">
        <f>C$23*C24</f>
        <v>0</v>
      </c>
      <c r="E24" s="8">
        <v>10</v>
      </c>
      <c r="F24" s="7">
        <f t="shared" si="4"/>
        <v>0</v>
      </c>
      <c r="G24" s="9">
        <v>0.1</v>
      </c>
      <c r="H24" s="7">
        <f t="shared" si="5"/>
        <v>0</v>
      </c>
    </row>
    <row r="25" spans="1:8" x14ac:dyDescent="0.25">
      <c r="A25" s="490"/>
      <c r="B25" s="3" t="s">
        <v>456</v>
      </c>
      <c r="C25" s="25">
        <v>0</v>
      </c>
      <c r="D25" s="7">
        <f>C$23*C25</f>
        <v>0</v>
      </c>
      <c r="E25" s="8">
        <v>10</v>
      </c>
      <c r="F25" s="7">
        <f t="shared" si="4"/>
        <v>0</v>
      </c>
      <c r="G25" s="9">
        <v>0.1</v>
      </c>
      <c r="H25" s="7">
        <f t="shared" si="5"/>
        <v>0</v>
      </c>
    </row>
    <row r="26" spans="1:8" x14ac:dyDescent="0.25">
      <c r="A26" s="490"/>
      <c r="B26" s="3" t="s">
        <v>457</v>
      </c>
      <c r="C26" s="25">
        <v>0</v>
      </c>
      <c r="D26" s="7">
        <f>C$23*C26</f>
        <v>0</v>
      </c>
      <c r="E26" s="8">
        <v>10</v>
      </c>
      <c r="F26" s="7">
        <f t="shared" si="4"/>
        <v>0</v>
      </c>
      <c r="G26" s="9">
        <v>0.05</v>
      </c>
      <c r="H26" s="7">
        <f t="shared" si="5"/>
        <v>0</v>
      </c>
    </row>
    <row r="27" spans="1:8" x14ac:dyDescent="0.25">
      <c r="A27" s="490"/>
      <c r="B27" s="3" t="s">
        <v>458</v>
      </c>
      <c r="C27" s="25">
        <v>0</v>
      </c>
      <c r="D27" s="7">
        <f t="shared" ref="D27:D31" si="6">C$23*C27</f>
        <v>0</v>
      </c>
      <c r="E27" s="8">
        <v>20</v>
      </c>
      <c r="F27" s="7">
        <f t="shared" si="4"/>
        <v>0</v>
      </c>
      <c r="G27" s="9">
        <v>0</v>
      </c>
      <c r="H27" s="7">
        <f t="shared" si="5"/>
        <v>0</v>
      </c>
    </row>
    <row r="28" spans="1:8" x14ac:dyDescent="0.25">
      <c r="A28" s="490"/>
      <c r="B28" s="3" t="s">
        <v>459</v>
      </c>
      <c r="C28" s="25">
        <v>0</v>
      </c>
      <c r="D28" s="7">
        <f t="shared" si="6"/>
        <v>0</v>
      </c>
      <c r="E28" s="8"/>
      <c r="F28" s="7">
        <f t="shared" si="4"/>
        <v>0</v>
      </c>
      <c r="G28" s="9">
        <v>0</v>
      </c>
      <c r="H28" s="7">
        <f t="shared" si="5"/>
        <v>0</v>
      </c>
    </row>
    <row r="29" spans="1:8" x14ac:dyDescent="0.25">
      <c r="A29" s="490"/>
      <c r="B29" s="3"/>
      <c r="C29" s="25">
        <v>0</v>
      </c>
      <c r="D29" s="7">
        <f t="shared" si="6"/>
        <v>0</v>
      </c>
      <c r="E29" s="8"/>
      <c r="F29" s="7">
        <f t="shared" si="4"/>
        <v>0</v>
      </c>
      <c r="G29" s="9">
        <v>0</v>
      </c>
      <c r="H29" s="7">
        <f t="shared" si="5"/>
        <v>0</v>
      </c>
    </row>
    <row r="30" spans="1:8" x14ac:dyDescent="0.25">
      <c r="A30" s="490"/>
      <c r="B30" s="3"/>
      <c r="C30" s="25">
        <v>0</v>
      </c>
      <c r="D30" s="7">
        <f t="shared" si="6"/>
        <v>0</v>
      </c>
      <c r="E30" s="8"/>
      <c r="F30" s="7">
        <f t="shared" si="4"/>
        <v>0</v>
      </c>
      <c r="G30" s="9">
        <v>0</v>
      </c>
      <c r="H30" s="7">
        <f t="shared" si="5"/>
        <v>0</v>
      </c>
    </row>
    <row r="31" spans="1:8" x14ac:dyDescent="0.25">
      <c r="A31" s="491"/>
      <c r="B31" s="3"/>
      <c r="C31" s="25">
        <v>0</v>
      </c>
      <c r="D31" s="7">
        <f t="shared" si="6"/>
        <v>0</v>
      </c>
      <c r="E31" s="8"/>
      <c r="F31" s="7">
        <f t="shared" si="4"/>
        <v>0</v>
      </c>
      <c r="G31" s="9">
        <v>0</v>
      </c>
      <c r="H31" s="7">
        <f t="shared" si="5"/>
        <v>0</v>
      </c>
    </row>
    <row r="32" spans="1:8" x14ac:dyDescent="0.25">
      <c r="A32" s="26" t="s">
        <v>474</v>
      </c>
      <c r="B32" s="27"/>
      <c r="C32" s="3">
        <f>B9*B32</f>
        <v>0</v>
      </c>
      <c r="D32" s="7"/>
      <c r="E32" s="8"/>
      <c r="F32" s="7"/>
      <c r="G32" s="9"/>
      <c r="H32" s="7"/>
    </row>
    <row r="33" spans="1:8" x14ac:dyDescent="0.25">
      <c r="A33" s="29" t="s">
        <v>437</v>
      </c>
      <c r="B33" s="3"/>
      <c r="C33" s="25">
        <v>0</v>
      </c>
      <c r="D33" s="7">
        <f>C$32*C33</f>
        <v>0</v>
      </c>
      <c r="E33" s="8"/>
      <c r="F33" s="7">
        <f t="shared" si="4"/>
        <v>0</v>
      </c>
      <c r="G33" s="9">
        <v>0</v>
      </c>
      <c r="H33" s="7">
        <f t="shared" si="5"/>
        <v>0</v>
      </c>
    </row>
    <row r="34" spans="1:8" x14ac:dyDescent="0.25">
      <c r="A34" s="30"/>
      <c r="B34" s="3"/>
      <c r="C34" s="25">
        <v>0</v>
      </c>
      <c r="D34" s="7">
        <f>C$32*C34</f>
        <v>0</v>
      </c>
      <c r="E34" s="8"/>
      <c r="F34" s="7">
        <f t="shared" si="4"/>
        <v>0</v>
      </c>
      <c r="G34" s="9">
        <v>0</v>
      </c>
      <c r="H34" s="7">
        <f t="shared" si="5"/>
        <v>0</v>
      </c>
    </row>
    <row r="35" spans="1:8" x14ac:dyDescent="0.25">
      <c r="A35" s="30"/>
      <c r="B35" s="3"/>
      <c r="C35" s="25">
        <v>0</v>
      </c>
      <c r="D35" s="7">
        <f>C$32*C35</f>
        <v>0</v>
      </c>
      <c r="E35" s="8"/>
      <c r="F35" s="7">
        <f t="shared" si="4"/>
        <v>0</v>
      </c>
      <c r="G35" s="9">
        <v>0</v>
      </c>
      <c r="H35" s="7">
        <f t="shared" si="5"/>
        <v>0</v>
      </c>
    </row>
    <row r="36" spans="1:8" x14ac:dyDescent="0.25">
      <c r="A36" s="31"/>
      <c r="B36" s="3"/>
      <c r="C36" s="25">
        <v>0</v>
      </c>
      <c r="D36" s="7">
        <f>C$32*C36</f>
        <v>0</v>
      </c>
      <c r="E36" s="8"/>
      <c r="F36" s="7">
        <f t="shared" si="4"/>
        <v>0</v>
      </c>
      <c r="G36" s="9">
        <v>0</v>
      </c>
      <c r="H36" s="7">
        <f t="shared" si="5"/>
        <v>0</v>
      </c>
    </row>
    <row r="37" spans="1:8" x14ac:dyDescent="0.25">
      <c r="A37" s="492" t="s">
        <v>475</v>
      </c>
      <c r="B37" s="3" t="s">
        <v>461</v>
      </c>
      <c r="C37" s="25">
        <v>0</v>
      </c>
      <c r="D37" s="7">
        <f t="shared" si="3"/>
        <v>0</v>
      </c>
      <c r="E37" s="8">
        <v>6</v>
      </c>
      <c r="F37" s="7">
        <f t="shared" si="4"/>
        <v>0</v>
      </c>
      <c r="G37" s="9">
        <v>0.05</v>
      </c>
      <c r="H37" s="7">
        <f t="shared" si="5"/>
        <v>0</v>
      </c>
    </row>
    <row r="38" spans="1:8" x14ac:dyDescent="0.25">
      <c r="A38" s="492"/>
      <c r="B38" s="3" t="s">
        <v>462</v>
      </c>
      <c r="C38" s="25">
        <v>0</v>
      </c>
      <c r="D38" s="7">
        <f t="shared" si="3"/>
        <v>0</v>
      </c>
      <c r="E38" s="8"/>
      <c r="F38" s="7">
        <f t="shared" si="4"/>
        <v>0</v>
      </c>
      <c r="G38" s="9">
        <v>0</v>
      </c>
      <c r="H38" s="7">
        <f t="shared" si="5"/>
        <v>0</v>
      </c>
    </row>
    <row r="39" spans="1:8" x14ac:dyDescent="0.25">
      <c r="A39" s="492"/>
      <c r="B39" s="3" t="s">
        <v>463</v>
      </c>
      <c r="C39" s="25">
        <v>0</v>
      </c>
      <c r="D39" s="7">
        <f t="shared" si="3"/>
        <v>0</v>
      </c>
      <c r="E39" s="8"/>
      <c r="F39" s="7">
        <f t="shared" si="4"/>
        <v>0</v>
      </c>
      <c r="G39" s="9">
        <v>0</v>
      </c>
      <c r="H39" s="7">
        <f t="shared" si="5"/>
        <v>0</v>
      </c>
    </row>
    <row r="40" spans="1:8" x14ac:dyDescent="0.25">
      <c r="A40" s="492"/>
      <c r="B40" s="3" t="s">
        <v>464</v>
      </c>
      <c r="C40" s="25">
        <v>0</v>
      </c>
      <c r="D40" s="7">
        <f t="shared" si="3"/>
        <v>0</v>
      </c>
      <c r="E40" s="8"/>
      <c r="F40" s="7">
        <f t="shared" si="4"/>
        <v>0</v>
      </c>
      <c r="G40" s="9">
        <v>0</v>
      </c>
      <c r="H40" s="7">
        <f t="shared" si="5"/>
        <v>0</v>
      </c>
    </row>
    <row r="41" spans="1:8" x14ac:dyDescent="0.25">
      <c r="A41" s="493" t="s">
        <v>380</v>
      </c>
      <c r="B41" s="493"/>
      <c r="C41" s="493"/>
      <c r="D41" s="493"/>
      <c r="E41" s="493"/>
      <c r="F41" s="493"/>
      <c r="G41" s="493"/>
      <c r="H41" s="493"/>
    </row>
    <row r="43" spans="1:8" x14ac:dyDescent="0.25">
      <c r="A43" s="494" t="s">
        <v>534</v>
      </c>
      <c r="B43" s="495"/>
      <c r="C43" s="495"/>
      <c r="D43" s="495"/>
      <c r="E43" s="495"/>
      <c r="F43" s="495"/>
      <c r="G43" s="495"/>
      <c r="H43" s="496"/>
    </row>
    <row r="44" spans="1:8" x14ac:dyDescent="0.25">
      <c r="A44" s="497" t="s">
        <v>0</v>
      </c>
      <c r="B44" s="32">
        <v>0.35</v>
      </c>
      <c r="C44" s="32">
        <f>B44+0.05</f>
        <v>0.39999999999999997</v>
      </c>
      <c r="D44" s="32">
        <f t="shared" ref="D44:G44" si="7">C44+0.05</f>
        <v>0.44999999999999996</v>
      </c>
      <c r="E44" s="32">
        <f t="shared" si="7"/>
        <v>0.49999999999999994</v>
      </c>
      <c r="F44" s="32">
        <f t="shared" si="7"/>
        <v>0.54999999999999993</v>
      </c>
      <c r="G44" s="32">
        <f t="shared" si="7"/>
        <v>0.6</v>
      </c>
      <c r="H44" s="32">
        <f>G44+0.05</f>
        <v>0.65</v>
      </c>
    </row>
    <row r="45" spans="1:8" x14ac:dyDescent="0.25">
      <c r="A45" s="498"/>
      <c r="B45" s="6" t="s">
        <v>2</v>
      </c>
      <c r="C45" s="6" t="s">
        <v>3</v>
      </c>
      <c r="D45" s="6" t="s">
        <v>4</v>
      </c>
      <c r="E45" s="6" t="s">
        <v>5</v>
      </c>
      <c r="F45" s="6" t="s">
        <v>6</v>
      </c>
      <c r="G45" s="6" t="s">
        <v>166</v>
      </c>
      <c r="H45" s="6" t="s">
        <v>165</v>
      </c>
    </row>
    <row r="46" spans="1:8" x14ac:dyDescent="0.25">
      <c r="A46" s="7" t="str">
        <f t="shared" ref="A46:A54" si="8">B14</f>
        <v>Onion</v>
      </c>
      <c r="B46" s="7">
        <f t="shared" ref="B46:B54" si="9">H14*$B$44</f>
        <v>0</v>
      </c>
      <c r="C46" s="7">
        <f t="shared" ref="C46:H61" si="10">(B46/B$44)*C$44</f>
        <v>0</v>
      </c>
      <c r="D46" s="7">
        <f t="shared" si="10"/>
        <v>0</v>
      </c>
      <c r="E46" s="7">
        <f t="shared" si="10"/>
        <v>0</v>
      </c>
      <c r="F46" s="7">
        <f t="shared" si="10"/>
        <v>0</v>
      </c>
      <c r="G46" s="7">
        <f t="shared" si="10"/>
        <v>0</v>
      </c>
      <c r="H46" s="7">
        <f t="shared" si="10"/>
        <v>0</v>
      </c>
    </row>
    <row r="47" spans="1:8" x14ac:dyDescent="0.25">
      <c r="A47" s="7" t="str">
        <f t="shared" si="8"/>
        <v>Tomato</v>
      </c>
      <c r="B47" s="7">
        <f t="shared" si="9"/>
        <v>0</v>
      </c>
      <c r="C47" s="7">
        <f t="shared" si="10"/>
        <v>0</v>
      </c>
      <c r="D47" s="7">
        <f t="shared" si="10"/>
        <v>0</v>
      </c>
      <c r="E47" s="7">
        <f t="shared" si="10"/>
        <v>0</v>
      </c>
      <c r="F47" s="7">
        <f t="shared" si="10"/>
        <v>0</v>
      </c>
      <c r="G47" s="7">
        <f t="shared" si="10"/>
        <v>0</v>
      </c>
      <c r="H47" s="7">
        <f t="shared" si="10"/>
        <v>0</v>
      </c>
    </row>
    <row r="48" spans="1:8" x14ac:dyDescent="0.25">
      <c r="A48" s="7" t="str">
        <f t="shared" si="8"/>
        <v>Okra</v>
      </c>
      <c r="B48" s="7">
        <f t="shared" si="9"/>
        <v>0</v>
      </c>
      <c r="C48" s="7">
        <f t="shared" si="10"/>
        <v>0</v>
      </c>
      <c r="D48" s="7">
        <f t="shared" si="10"/>
        <v>0</v>
      </c>
      <c r="E48" s="7">
        <f t="shared" si="10"/>
        <v>0</v>
      </c>
      <c r="F48" s="7">
        <f t="shared" si="10"/>
        <v>0</v>
      </c>
      <c r="G48" s="7">
        <f t="shared" si="10"/>
        <v>0</v>
      </c>
      <c r="H48" s="7">
        <f t="shared" si="10"/>
        <v>0</v>
      </c>
    </row>
    <row r="49" spans="1:8" x14ac:dyDescent="0.25">
      <c r="A49" s="7" t="str">
        <f t="shared" si="8"/>
        <v>Chilli</v>
      </c>
      <c r="B49" s="7">
        <f t="shared" si="9"/>
        <v>0</v>
      </c>
      <c r="C49" s="7">
        <f t="shared" si="10"/>
        <v>0</v>
      </c>
      <c r="D49" s="7">
        <f t="shared" si="10"/>
        <v>0</v>
      </c>
      <c r="E49" s="7">
        <f t="shared" si="10"/>
        <v>0</v>
      </c>
      <c r="F49" s="7">
        <f t="shared" si="10"/>
        <v>0</v>
      </c>
      <c r="G49" s="7">
        <f t="shared" si="10"/>
        <v>0</v>
      </c>
      <c r="H49" s="7">
        <f t="shared" si="10"/>
        <v>0</v>
      </c>
    </row>
    <row r="50" spans="1:8" x14ac:dyDescent="0.25">
      <c r="A50" s="7" t="str">
        <f t="shared" si="8"/>
        <v>Potato</v>
      </c>
      <c r="B50" s="7">
        <f t="shared" si="9"/>
        <v>0</v>
      </c>
      <c r="C50" s="7">
        <f t="shared" si="10"/>
        <v>0</v>
      </c>
      <c r="D50" s="7">
        <f t="shared" si="10"/>
        <v>0</v>
      </c>
      <c r="E50" s="7">
        <f t="shared" si="10"/>
        <v>0</v>
      </c>
      <c r="F50" s="7">
        <f t="shared" si="10"/>
        <v>0</v>
      </c>
      <c r="G50" s="7">
        <f t="shared" si="10"/>
        <v>0</v>
      </c>
      <c r="H50" s="7">
        <f t="shared" si="10"/>
        <v>0</v>
      </c>
    </row>
    <row r="51" spans="1:8" x14ac:dyDescent="0.25">
      <c r="A51" s="7">
        <f t="shared" si="8"/>
        <v>0</v>
      </c>
      <c r="B51" s="7">
        <f t="shared" si="9"/>
        <v>0</v>
      </c>
      <c r="C51" s="7">
        <f t="shared" si="10"/>
        <v>0</v>
      </c>
      <c r="D51" s="7">
        <f t="shared" si="10"/>
        <v>0</v>
      </c>
      <c r="E51" s="7">
        <f t="shared" si="10"/>
        <v>0</v>
      </c>
      <c r="F51" s="7">
        <f t="shared" si="10"/>
        <v>0</v>
      </c>
      <c r="G51" s="7">
        <f t="shared" si="10"/>
        <v>0</v>
      </c>
      <c r="H51" s="7">
        <f t="shared" si="10"/>
        <v>0</v>
      </c>
    </row>
    <row r="52" spans="1:8" x14ac:dyDescent="0.25">
      <c r="A52" s="7">
        <f t="shared" si="8"/>
        <v>0</v>
      </c>
      <c r="B52" s="7">
        <f t="shared" si="9"/>
        <v>0</v>
      </c>
      <c r="C52" s="7">
        <f t="shared" si="10"/>
        <v>0</v>
      </c>
      <c r="D52" s="7">
        <f t="shared" si="10"/>
        <v>0</v>
      </c>
      <c r="E52" s="7">
        <f t="shared" si="10"/>
        <v>0</v>
      </c>
      <c r="F52" s="7">
        <f t="shared" si="10"/>
        <v>0</v>
      </c>
      <c r="G52" s="7">
        <f t="shared" si="10"/>
        <v>0</v>
      </c>
      <c r="H52" s="7">
        <f t="shared" si="10"/>
        <v>0</v>
      </c>
    </row>
    <row r="53" spans="1:8" x14ac:dyDescent="0.25">
      <c r="A53" s="7">
        <f t="shared" si="8"/>
        <v>0</v>
      </c>
      <c r="B53" s="7">
        <f t="shared" si="9"/>
        <v>0</v>
      </c>
      <c r="C53" s="7">
        <f t="shared" si="10"/>
        <v>0</v>
      </c>
      <c r="D53" s="7">
        <f t="shared" si="10"/>
        <v>0</v>
      </c>
      <c r="E53" s="7">
        <f t="shared" si="10"/>
        <v>0</v>
      </c>
      <c r="F53" s="7">
        <f t="shared" si="10"/>
        <v>0</v>
      </c>
      <c r="G53" s="7">
        <f t="shared" si="10"/>
        <v>0</v>
      </c>
      <c r="H53" s="7">
        <f t="shared" si="10"/>
        <v>0</v>
      </c>
    </row>
    <row r="54" spans="1:8" x14ac:dyDescent="0.25">
      <c r="A54" s="7">
        <f t="shared" si="8"/>
        <v>0</v>
      </c>
      <c r="B54" s="7">
        <f t="shared" si="9"/>
        <v>0</v>
      </c>
      <c r="C54" s="7">
        <f t="shared" si="10"/>
        <v>0</v>
      </c>
      <c r="D54" s="7">
        <f t="shared" si="10"/>
        <v>0</v>
      </c>
      <c r="E54" s="7">
        <f t="shared" si="10"/>
        <v>0</v>
      </c>
      <c r="F54" s="7">
        <f t="shared" si="10"/>
        <v>0</v>
      </c>
      <c r="G54" s="7">
        <f t="shared" si="10"/>
        <v>0</v>
      </c>
      <c r="H54" s="7">
        <f t="shared" si="10"/>
        <v>0</v>
      </c>
    </row>
    <row r="55" spans="1:8" x14ac:dyDescent="0.25">
      <c r="A55" s="7" t="str">
        <f t="shared" ref="A55:A62" si="11">B24</f>
        <v>Onion</v>
      </c>
      <c r="B55" s="7">
        <f t="shared" ref="B55:B61" si="12">H24*$B$44</f>
        <v>0</v>
      </c>
      <c r="C55" s="7">
        <f t="shared" si="10"/>
        <v>0</v>
      </c>
      <c r="D55" s="7">
        <f t="shared" si="10"/>
        <v>0</v>
      </c>
      <c r="E55" s="7">
        <f t="shared" si="10"/>
        <v>0</v>
      </c>
      <c r="F55" s="7">
        <f t="shared" si="10"/>
        <v>0</v>
      </c>
      <c r="G55" s="7">
        <f t="shared" si="10"/>
        <v>0</v>
      </c>
      <c r="H55" s="7">
        <f t="shared" si="10"/>
        <v>0</v>
      </c>
    </row>
    <row r="56" spans="1:8" x14ac:dyDescent="0.25">
      <c r="A56" s="7" t="str">
        <f t="shared" si="11"/>
        <v>Tomato</v>
      </c>
      <c r="B56" s="7">
        <f t="shared" si="12"/>
        <v>0</v>
      </c>
      <c r="C56" s="7">
        <f t="shared" si="10"/>
        <v>0</v>
      </c>
      <c r="D56" s="7">
        <f t="shared" si="10"/>
        <v>0</v>
      </c>
      <c r="E56" s="7">
        <f t="shared" si="10"/>
        <v>0</v>
      </c>
      <c r="F56" s="7">
        <f t="shared" si="10"/>
        <v>0</v>
      </c>
      <c r="G56" s="7">
        <f t="shared" si="10"/>
        <v>0</v>
      </c>
      <c r="H56" s="7">
        <f t="shared" si="10"/>
        <v>0</v>
      </c>
    </row>
    <row r="57" spans="1:8" x14ac:dyDescent="0.25">
      <c r="A57" s="7" t="str">
        <f t="shared" si="11"/>
        <v>Okra</v>
      </c>
      <c r="B57" s="7">
        <f t="shared" si="12"/>
        <v>0</v>
      </c>
      <c r="C57" s="7">
        <f t="shared" si="10"/>
        <v>0</v>
      </c>
      <c r="D57" s="7">
        <f t="shared" si="10"/>
        <v>0</v>
      </c>
      <c r="E57" s="7">
        <f t="shared" si="10"/>
        <v>0</v>
      </c>
      <c r="F57" s="7">
        <f t="shared" si="10"/>
        <v>0</v>
      </c>
      <c r="G57" s="7">
        <f t="shared" si="10"/>
        <v>0</v>
      </c>
      <c r="H57" s="7">
        <f t="shared" si="10"/>
        <v>0</v>
      </c>
    </row>
    <row r="58" spans="1:8" x14ac:dyDescent="0.25">
      <c r="A58" s="7" t="str">
        <f t="shared" si="11"/>
        <v>Chilli</v>
      </c>
      <c r="B58" s="7">
        <f t="shared" si="12"/>
        <v>0</v>
      </c>
      <c r="C58" s="7">
        <f t="shared" si="10"/>
        <v>0</v>
      </c>
      <c r="D58" s="7">
        <f t="shared" si="10"/>
        <v>0</v>
      </c>
      <c r="E58" s="7">
        <f t="shared" si="10"/>
        <v>0</v>
      </c>
      <c r="F58" s="7">
        <f t="shared" si="10"/>
        <v>0</v>
      </c>
      <c r="G58" s="7">
        <f t="shared" si="10"/>
        <v>0</v>
      </c>
      <c r="H58" s="7">
        <f t="shared" si="10"/>
        <v>0</v>
      </c>
    </row>
    <row r="59" spans="1:8" x14ac:dyDescent="0.25">
      <c r="A59" s="7" t="str">
        <f t="shared" si="11"/>
        <v>Brinjal</v>
      </c>
      <c r="B59" s="7">
        <f t="shared" si="12"/>
        <v>0</v>
      </c>
      <c r="C59" s="7">
        <f t="shared" si="10"/>
        <v>0</v>
      </c>
      <c r="D59" s="7">
        <f t="shared" si="10"/>
        <v>0</v>
      </c>
      <c r="E59" s="7">
        <f t="shared" si="10"/>
        <v>0</v>
      </c>
      <c r="F59" s="7">
        <f t="shared" si="10"/>
        <v>0</v>
      </c>
      <c r="G59" s="7">
        <f t="shared" si="10"/>
        <v>0</v>
      </c>
      <c r="H59" s="7">
        <f t="shared" si="10"/>
        <v>0</v>
      </c>
    </row>
    <row r="60" spans="1:8" x14ac:dyDescent="0.25">
      <c r="A60" s="7">
        <f t="shared" si="11"/>
        <v>0</v>
      </c>
      <c r="B60" s="7">
        <f t="shared" si="12"/>
        <v>0</v>
      </c>
      <c r="C60" s="7">
        <f t="shared" si="10"/>
        <v>0</v>
      </c>
      <c r="D60" s="7">
        <f t="shared" si="10"/>
        <v>0</v>
      </c>
      <c r="E60" s="7">
        <f t="shared" si="10"/>
        <v>0</v>
      </c>
      <c r="F60" s="7">
        <f t="shared" si="10"/>
        <v>0</v>
      </c>
      <c r="G60" s="7">
        <f t="shared" si="10"/>
        <v>0</v>
      </c>
      <c r="H60" s="7">
        <f t="shared" si="10"/>
        <v>0</v>
      </c>
    </row>
    <row r="61" spans="1:8" x14ac:dyDescent="0.25">
      <c r="A61" s="7">
        <f t="shared" si="11"/>
        <v>0</v>
      </c>
      <c r="B61" s="7">
        <f t="shared" si="12"/>
        <v>0</v>
      </c>
      <c r="C61" s="7">
        <f t="shared" si="10"/>
        <v>0</v>
      </c>
      <c r="D61" s="7">
        <f t="shared" si="10"/>
        <v>0</v>
      </c>
      <c r="E61" s="7">
        <f t="shared" si="10"/>
        <v>0</v>
      </c>
      <c r="F61" s="7">
        <f t="shared" si="10"/>
        <v>0</v>
      </c>
      <c r="G61" s="7">
        <f t="shared" si="10"/>
        <v>0</v>
      </c>
      <c r="H61" s="7">
        <f t="shared" si="10"/>
        <v>0</v>
      </c>
    </row>
    <row r="62" spans="1:8" x14ac:dyDescent="0.25">
      <c r="A62" s="7">
        <f t="shared" si="11"/>
        <v>0</v>
      </c>
      <c r="B62" s="7">
        <f t="shared" ref="B62" si="13">H31*$B$44</f>
        <v>0</v>
      </c>
      <c r="C62" s="7">
        <f t="shared" ref="C62:H70" si="14">(B62/B$44)*C$44</f>
        <v>0</v>
      </c>
      <c r="D62" s="7">
        <f t="shared" si="14"/>
        <v>0</v>
      </c>
      <c r="E62" s="7">
        <f t="shared" si="14"/>
        <v>0</v>
      </c>
      <c r="F62" s="7">
        <f t="shared" si="14"/>
        <v>0</v>
      </c>
      <c r="G62" s="7">
        <f t="shared" si="14"/>
        <v>0</v>
      </c>
      <c r="H62" s="7">
        <f t="shared" si="14"/>
        <v>0</v>
      </c>
    </row>
    <row r="63" spans="1:8" x14ac:dyDescent="0.25">
      <c r="A63" s="7">
        <f t="shared" ref="A63:A66" si="15">B33</f>
        <v>0</v>
      </c>
      <c r="B63" s="7">
        <f t="shared" ref="B63:B70" si="16">H33*$B$44</f>
        <v>0</v>
      </c>
      <c r="C63" s="7">
        <f t="shared" si="14"/>
        <v>0</v>
      </c>
      <c r="D63" s="7">
        <f t="shared" ref="D63:D66" si="17">(C63/C$44)*D$44</f>
        <v>0</v>
      </c>
      <c r="E63" s="7">
        <f t="shared" ref="E63:E66" si="18">(D63/D$44)*E$44</f>
        <v>0</v>
      </c>
      <c r="F63" s="7">
        <f t="shared" ref="F63:F66" si="19">(E63/E$44)*F$44</f>
        <v>0</v>
      </c>
      <c r="G63" s="7">
        <f t="shared" ref="G63:G66" si="20">(F63/F$44)*G$44</f>
        <v>0</v>
      </c>
      <c r="H63" s="7">
        <f t="shared" ref="H63:H66" si="21">(G63/G$44)*H$44</f>
        <v>0</v>
      </c>
    </row>
    <row r="64" spans="1:8" x14ac:dyDescent="0.25">
      <c r="A64" s="7">
        <f t="shared" si="15"/>
        <v>0</v>
      </c>
      <c r="B64" s="7">
        <f t="shared" si="16"/>
        <v>0</v>
      </c>
      <c r="C64" s="7">
        <f t="shared" si="14"/>
        <v>0</v>
      </c>
      <c r="D64" s="7">
        <f t="shared" si="17"/>
        <v>0</v>
      </c>
      <c r="E64" s="7">
        <f t="shared" si="18"/>
        <v>0</v>
      </c>
      <c r="F64" s="7">
        <f t="shared" si="19"/>
        <v>0</v>
      </c>
      <c r="G64" s="7">
        <f t="shared" si="20"/>
        <v>0</v>
      </c>
      <c r="H64" s="7">
        <f t="shared" si="21"/>
        <v>0</v>
      </c>
    </row>
    <row r="65" spans="1:8" x14ac:dyDescent="0.25">
      <c r="A65" s="7">
        <f t="shared" si="15"/>
        <v>0</v>
      </c>
      <c r="B65" s="7">
        <f t="shared" si="16"/>
        <v>0</v>
      </c>
      <c r="C65" s="7">
        <f t="shared" si="14"/>
        <v>0</v>
      </c>
      <c r="D65" s="7">
        <f t="shared" si="17"/>
        <v>0</v>
      </c>
      <c r="E65" s="7">
        <f t="shared" si="18"/>
        <v>0</v>
      </c>
      <c r="F65" s="7">
        <f t="shared" si="19"/>
        <v>0</v>
      </c>
      <c r="G65" s="7">
        <f t="shared" si="20"/>
        <v>0</v>
      </c>
      <c r="H65" s="7">
        <f t="shared" si="21"/>
        <v>0</v>
      </c>
    </row>
    <row r="66" spans="1:8" x14ac:dyDescent="0.25">
      <c r="A66" s="7">
        <f t="shared" si="15"/>
        <v>0</v>
      </c>
      <c r="B66" s="7">
        <f t="shared" si="16"/>
        <v>0</v>
      </c>
      <c r="C66" s="7">
        <f t="shared" si="14"/>
        <v>0</v>
      </c>
      <c r="D66" s="7">
        <f t="shared" si="17"/>
        <v>0</v>
      </c>
      <c r="E66" s="7">
        <f t="shared" si="18"/>
        <v>0</v>
      </c>
      <c r="F66" s="7">
        <f t="shared" si="19"/>
        <v>0</v>
      </c>
      <c r="G66" s="7">
        <f t="shared" si="20"/>
        <v>0</v>
      </c>
      <c r="H66" s="7">
        <f t="shared" si="21"/>
        <v>0</v>
      </c>
    </row>
    <row r="67" spans="1:8" x14ac:dyDescent="0.25">
      <c r="A67" s="7" t="str">
        <f>B37</f>
        <v>Pomegranate</v>
      </c>
      <c r="B67" s="7">
        <f t="shared" si="16"/>
        <v>0</v>
      </c>
      <c r="C67" s="7">
        <f t="shared" si="14"/>
        <v>0</v>
      </c>
      <c r="D67" s="7">
        <f t="shared" si="14"/>
        <v>0</v>
      </c>
      <c r="E67" s="7">
        <f t="shared" si="14"/>
        <v>0</v>
      </c>
      <c r="F67" s="7">
        <f t="shared" si="14"/>
        <v>0</v>
      </c>
      <c r="G67" s="7">
        <f t="shared" si="14"/>
        <v>0</v>
      </c>
      <c r="H67" s="7">
        <f t="shared" si="14"/>
        <v>0</v>
      </c>
    </row>
    <row r="68" spans="1:8" x14ac:dyDescent="0.25">
      <c r="A68" s="7" t="str">
        <f t="shared" ref="A68:A70" si="22">B38</f>
        <v>Custard Apple</v>
      </c>
      <c r="B68" s="7">
        <f t="shared" si="16"/>
        <v>0</v>
      </c>
      <c r="C68" s="7">
        <f t="shared" si="14"/>
        <v>0</v>
      </c>
      <c r="D68" s="7">
        <f t="shared" si="14"/>
        <v>0</v>
      </c>
      <c r="E68" s="7">
        <f t="shared" si="14"/>
        <v>0</v>
      </c>
      <c r="F68" s="7">
        <f t="shared" si="14"/>
        <v>0</v>
      </c>
      <c r="G68" s="7">
        <f t="shared" si="14"/>
        <v>0</v>
      </c>
      <c r="H68" s="7">
        <f t="shared" si="14"/>
        <v>0</v>
      </c>
    </row>
    <row r="69" spans="1:8" x14ac:dyDescent="0.25">
      <c r="A69" s="7" t="str">
        <f t="shared" si="22"/>
        <v>Guava</v>
      </c>
      <c r="B69" s="7">
        <f t="shared" si="16"/>
        <v>0</v>
      </c>
      <c r="C69" s="7">
        <f t="shared" si="14"/>
        <v>0</v>
      </c>
      <c r="D69" s="7">
        <f t="shared" si="14"/>
        <v>0</v>
      </c>
      <c r="E69" s="7">
        <f t="shared" si="14"/>
        <v>0</v>
      </c>
      <c r="F69" s="7">
        <f t="shared" si="14"/>
        <v>0</v>
      </c>
      <c r="G69" s="7">
        <f t="shared" si="14"/>
        <v>0</v>
      </c>
      <c r="H69" s="7">
        <f t="shared" si="14"/>
        <v>0</v>
      </c>
    </row>
    <row r="70" spans="1:8" x14ac:dyDescent="0.25">
      <c r="A70" s="7" t="str">
        <f t="shared" si="22"/>
        <v>Citrus</v>
      </c>
      <c r="B70" s="7">
        <f t="shared" si="16"/>
        <v>0</v>
      </c>
      <c r="C70" s="7">
        <f t="shared" si="14"/>
        <v>0</v>
      </c>
      <c r="D70" s="7">
        <f t="shared" si="14"/>
        <v>0</v>
      </c>
      <c r="E70" s="7">
        <f t="shared" ref="E70" si="23">(D70/D$44)*E$44</f>
        <v>0</v>
      </c>
      <c r="F70" s="7">
        <f t="shared" ref="F70" si="24">(E70/E$44)*F$44</f>
        <v>0</v>
      </c>
      <c r="G70" s="7">
        <f t="shared" ref="G70:H70" si="25">(F70/F$44)*G$44</f>
        <v>0</v>
      </c>
      <c r="H70" s="7">
        <f t="shared" si="25"/>
        <v>0</v>
      </c>
    </row>
    <row r="71" spans="1:8" x14ac:dyDescent="0.25">
      <c r="A71" s="482" t="s">
        <v>535</v>
      </c>
      <c r="B71" s="483"/>
      <c r="C71" s="483"/>
      <c r="D71" s="483"/>
      <c r="E71" s="483"/>
      <c r="F71" s="483"/>
      <c r="G71" s="483"/>
      <c r="H71" s="484"/>
    </row>
    <row r="72" spans="1:8" x14ac:dyDescent="0.25">
      <c r="A72" s="499" t="s">
        <v>0</v>
      </c>
      <c r="B72" s="33">
        <v>0.05</v>
      </c>
      <c r="C72" s="33">
        <f>B72+0.05</f>
        <v>0.1</v>
      </c>
      <c r="D72" s="33">
        <f t="shared" ref="D72:G72" si="26">C72+0.05</f>
        <v>0.15000000000000002</v>
      </c>
      <c r="E72" s="33">
        <f t="shared" si="26"/>
        <v>0.2</v>
      </c>
      <c r="F72" s="33">
        <f t="shared" si="26"/>
        <v>0.25</v>
      </c>
      <c r="G72" s="33">
        <f t="shared" si="26"/>
        <v>0.3</v>
      </c>
      <c r="H72" s="33">
        <f>G72+0.05</f>
        <v>0.35</v>
      </c>
    </row>
    <row r="73" spans="1:8" x14ac:dyDescent="0.25">
      <c r="A73" s="500"/>
      <c r="B73" s="6" t="s">
        <v>2</v>
      </c>
      <c r="C73" s="6" t="s">
        <v>3</v>
      </c>
      <c r="D73" s="6" t="s">
        <v>4</v>
      </c>
      <c r="E73" s="6" t="s">
        <v>5</v>
      </c>
      <c r="F73" s="6" t="s">
        <v>6</v>
      </c>
      <c r="G73" s="6" t="s">
        <v>166</v>
      </c>
      <c r="H73" s="6" t="s">
        <v>165</v>
      </c>
    </row>
    <row r="74" spans="1:8" s="34" customFormat="1" x14ac:dyDescent="0.25">
      <c r="A74" s="7" t="str">
        <f t="shared" ref="A74:A98" si="27">A46</f>
        <v>Onion</v>
      </c>
      <c r="B74" s="7">
        <f t="shared" ref="B74:H74" si="28">H14*$B$72</f>
        <v>0</v>
      </c>
      <c r="C74" s="7">
        <f t="shared" si="28"/>
        <v>0</v>
      </c>
      <c r="D74" s="7">
        <f t="shared" si="28"/>
        <v>0</v>
      </c>
      <c r="E74" s="7">
        <f t="shared" si="28"/>
        <v>0</v>
      </c>
      <c r="F74" s="7">
        <f t="shared" si="28"/>
        <v>0</v>
      </c>
      <c r="G74" s="7">
        <f t="shared" si="28"/>
        <v>0</v>
      </c>
      <c r="H74" s="7">
        <f t="shared" si="28"/>
        <v>0</v>
      </c>
    </row>
    <row r="75" spans="1:8" x14ac:dyDescent="0.25">
      <c r="A75" s="7" t="str">
        <f t="shared" si="27"/>
        <v>Tomato</v>
      </c>
      <c r="B75" s="7">
        <f>H15*$B$72*0</f>
        <v>0</v>
      </c>
      <c r="C75" s="7">
        <f>(B75/B72)*C72</f>
        <v>0</v>
      </c>
      <c r="D75" s="7">
        <f t="shared" ref="D75:G75" si="29">(C75/C72)*D72</f>
        <v>0</v>
      </c>
      <c r="E75" s="7">
        <f t="shared" si="29"/>
        <v>0</v>
      </c>
      <c r="F75" s="7">
        <f t="shared" si="29"/>
        <v>0</v>
      </c>
      <c r="G75" s="7">
        <f t="shared" si="29"/>
        <v>0</v>
      </c>
      <c r="H75" s="7">
        <f>(G75/G72)*H72</f>
        <v>0</v>
      </c>
    </row>
    <row r="76" spans="1:8" x14ac:dyDescent="0.25">
      <c r="A76" s="7" t="str">
        <f t="shared" si="27"/>
        <v>Okra</v>
      </c>
      <c r="B76" s="7">
        <f t="shared" ref="B76:B82" si="30">H16*$B$72</f>
        <v>0</v>
      </c>
      <c r="C76" s="7">
        <f>(B76/B72)*C72</f>
        <v>0</v>
      </c>
      <c r="D76" s="7">
        <f>(C76/C72)*D72</f>
        <v>0</v>
      </c>
      <c r="E76" s="7">
        <f t="shared" ref="E76:G76" si="31">(D76/D72)*E72</f>
        <v>0</v>
      </c>
      <c r="F76" s="7">
        <f t="shared" si="31"/>
        <v>0</v>
      </c>
      <c r="G76" s="7">
        <f t="shared" si="31"/>
        <v>0</v>
      </c>
      <c r="H76" s="7">
        <f>(G76/G72)*H72</f>
        <v>0</v>
      </c>
    </row>
    <row r="77" spans="1:8" x14ac:dyDescent="0.25">
      <c r="A77" s="7" t="str">
        <f t="shared" si="27"/>
        <v>Chilli</v>
      </c>
      <c r="B77" s="7">
        <f>H17*$B$72*0</f>
        <v>0</v>
      </c>
      <c r="C77" s="7">
        <f t="shared" ref="C77:H95" si="32">(B77/B$72)*C$72</f>
        <v>0</v>
      </c>
      <c r="D77" s="7">
        <f t="shared" si="32"/>
        <v>0</v>
      </c>
      <c r="E77" s="7">
        <f t="shared" si="32"/>
        <v>0</v>
      </c>
      <c r="F77" s="7">
        <f t="shared" si="32"/>
        <v>0</v>
      </c>
      <c r="G77" s="7">
        <f t="shared" si="32"/>
        <v>0</v>
      </c>
      <c r="H77" s="7">
        <f t="shared" si="32"/>
        <v>0</v>
      </c>
    </row>
    <row r="78" spans="1:8" x14ac:dyDescent="0.25">
      <c r="A78" s="7" t="str">
        <f t="shared" si="27"/>
        <v>Potato</v>
      </c>
      <c r="B78" s="7">
        <f t="shared" si="30"/>
        <v>0</v>
      </c>
      <c r="C78" s="7">
        <f t="shared" si="32"/>
        <v>0</v>
      </c>
      <c r="D78" s="7">
        <f t="shared" si="32"/>
        <v>0</v>
      </c>
      <c r="E78" s="7">
        <f t="shared" si="32"/>
        <v>0</v>
      </c>
      <c r="F78" s="7">
        <f t="shared" si="32"/>
        <v>0</v>
      </c>
      <c r="G78" s="7">
        <f t="shared" si="32"/>
        <v>0</v>
      </c>
      <c r="H78" s="7">
        <f t="shared" si="32"/>
        <v>0</v>
      </c>
    </row>
    <row r="79" spans="1:8" x14ac:dyDescent="0.25">
      <c r="A79" s="7">
        <f t="shared" si="27"/>
        <v>0</v>
      </c>
      <c r="B79" s="7">
        <f>H19*$B$72*0</f>
        <v>0</v>
      </c>
      <c r="C79" s="7">
        <f t="shared" si="32"/>
        <v>0</v>
      </c>
      <c r="D79" s="7">
        <f t="shared" si="32"/>
        <v>0</v>
      </c>
      <c r="E79" s="7">
        <f t="shared" si="32"/>
        <v>0</v>
      </c>
      <c r="F79" s="7">
        <f t="shared" si="32"/>
        <v>0</v>
      </c>
      <c r="G79" s="7">
        <f t="shared" si="32"/>
        <v>0</v>
      </c>
      <c r="H79" s="7">
        <f t="shared" si="32"/>
        <v>0</v>
      </c>
    </row>
    <row r="80" spans="1:8" x14ac:dyDescent="0.25">
      <c r="A80" s="7">
        <f t="shared" si="27"/>
        <v>0</v>
      </c>
      <c r="B80" s="7">
        <f>H20*$B$72*0</f>
        <v>0</v>
      </c>
      <c r="C80" s="7">
        <f t="shared" si="32"/>
        <v>0</v>
      </c>
      <c r="D80" s="7">
        <f t="shared" si="32"/>
        <v>0</v>
      </c>
      <c r="E80" s="7">
        <f t="shared" si="32"/>
        <v>0</v>
      </c>
      <c r="F80" s="7">
        <f t="shared" si="32"/>
        <v>0</v>
      </c>
      <c r="G80" s="7">
        <f t="shared" si="32"/>
        <v>0</v>
      </c>
      <c r="H80" s="7">
        <f t="shared" si="32"/>
        <v>0</v>
      </c>
    </row>
    <row r="81" spans="1:8" x14ac:dyDescent="0.25">
      <c r="A81" s="7">
        <f t="shared" si="27"/>
        <v>0</v>
      </c>
      <c r="B81" s="7">
        <f t="shared" si="30"/>
        <v>0</v>
      </c>
      <c r="C81" s="7">
        <f t="shared" si="32"/>
        <v>0</v>
      </c>
      <c r="D81" s="7">
        <f t="shared" si="32"/>
        <v>0</v>
      </c>
      <c r="E81" s="7">
        <f t="shared" si="32"/>
        <v>0</v>
      </c>
      <c r="F81" s="7">
        <f t="shared" si="32"/>
        <v>0</v>
      </c>
      <c r="G81" s="7">
        <f t="shared" si="32"/>
        <v>0</v>
      </c>
      <c r="H81" s="7">
        <f t="shared" si="32"/>
        <v>0</v>
      </c>
    </row>
    <row r="82" spans="1:8" x14ac:dyDescent="0.25">
      <c r="A82" s="7">
        <f t="shared" si="27"/>
        <v>0</v>
      </c>
      <c r="B82" s="7">
        <f t="shared" si="30"/>
        <v>0</v>
      </c>
      <c r="C82" s="7">
        <f t="shared" si="32"/>
        <v>0</v>
      </c>
      <c r="D82" s="7">
        <f t="shared" si="32"/>
        <v>0</v>
      </c>
      <c r="E82" s="7">
        <f t="shared" si="32"/>
        <v>0</v>
      </c>
      <c r="F82" s="7">
        <f t="shared" si="32"/>
        <v>0</v>
      </c>
      <c r="G82" s="7">
        <f t="shared" si="32"/>
        <v>0</v>
      </c>
      <c r="H82" s="7">
        <f t="shared" si="32"/>
        <v>0</v>
      </c>
    </row>
    <row r="83" spans="1:8" x14ac:dyDescent="0.25">
      <c r="A83" s="7" t="str">
        <f t="shared" si="27"/>
        <v>Onion</v>
      </c>
      <c r="B83" s="7">
        <f t="shared" ref="B83:B90" si="33">H24*$B$72</f>
        <v>0</v>
      </c>
      <c r="C83" s="7">
        <f t="shared" si="32"/>
        <v>0</v>
      </c>
      <c r="D83" s="7">
        <f t="shared" si="32"/>
        <v>0</v>
      </c>
      <c r="E83" s="7">
        <f t="shared" si="32"/>
        <v>0</v>
      </c>
      <c r="F83" s="7">
        <f t="shared" si="32"/>
        <v>0</v>
      </c>
      <c r="G83" s="7">
        <f t="shared" si="32"/>
        <v>0</v>
      </c>
      <c r="H83" s="7">
        <f t="shared" si="32"/>
        <v>0</v>
      </c>
    </row>
    <row r="84" spans="1:8" x14ac:dyDescent="0.25">
      <c r="A84" s="7" t="str">
        <f t="shared" si="27"/>
        <v>Tomato</v>
      </c>
      <c r="B84" s="7">
        <f t="shared" si="33"/>
        <v>0</v>
      </c>
      <c r="C84" s="7">
        <f t="shared" si="32"/>
        <v>0</v>
      </c>
      <c r="D84" s="7">
        <f t="shared" si="32"/>
        <v>0</v>
      </c>
      <c r="E84" s="7">
        <f t="shared" si="32"/>
        <v>0</v>
      </c>
      <c r="F84" s="7">
        <f t="shared" si="32"/>
        <v>0</v>
      </c>
      <c r="G84" s="7">
        <f t="shared" si="32"/>
        <v>0</v>
      </c>
      <c r="H84" s="7">
        <f t="shared" si="32"/>
        <v>0</v>
      </c>
    </row>
    <row r="85" spans="1:8" x14ac:dyDescent="0.25">
      <c r="A85" s="7" t="str">
        <f t="shared" si="27"/>
        <v>Okra</v>
      </c>
      <c r="B85" s="7">
        <f t="shared" si="33"/>
        <v>0</v>
      </c>
      <c r="C85" s="7">
        <f t="shared" si="32"/>
        <v>0</v>
      </c>
      <c r="D85" s="7">
        <f t="shared" si="32"/>
        <v>0</v>
      </c>
      <c r="E85" s="7">
        <f t="shared" si="32"/>
        <v>0</v>
      </c>
      <c r="F85" s="7">
        <f t="shared" si="32"/>
        <v>0</v>
      </c>
      <c r="G85" s="7">
        <f t="shared" si="32"/>
        <v>0</v>
      </c>
      <c r="H85" s="7">
        <f t="shared" si="32"/>
        <v>0</v>
      </c>
    </row>
    <row r="86" spans="1:8" x14ac:dyDescent="0.25">
      <c r="A86" s="7" t="str">
        <f t="shared" si="27"/>
        <v>Chilli</v>
      </c>
      <c r="B86" s="7">
        <f t="shared" si="33"/>
        <v>0</v>
      </c>
      <c r="C86" s="7">
        <f t="shared" si="32"/>
        <v>0</v>
      </c>
      <c r="D86" s="7">
        <f t="shared" si="32"/>
        <v>0</v>
      </c>
      <c r="E86" s="7">
        <f t="shared" si="32"/>
        <v>0</v>
      </c>
      <c r="F86" s="7">
        <f t="shared" si="32"/>
        <v>0</v>
      </c>
      <c r="G86" s="7">
        <f t="shared" si="32"/>
        <v>0</v>
      </c>
      <c r="H86" s="7">
        <f t="shared" si="32"/>
        <v>0</v>
      </c>
    </row>
    <row r="87" spans="1:8" x14ac:dyDescent="0.25">
      <c r="A87" s="7" t="str">
        <f t="shared" si="27"/>
        <v>Brinjal</v>
      </c>
      <c r="B87" s="7">
        <f t="shared" si="33"/>
        <v>0</v>
      </c>
      <c r="C87" s="7">
        <f t="shared" si="32"/>
        <v>0</v>
      </c>
      <c r="D87" s="7">
        <f t="shared" si="32"/>
        <v>0</v>
      </c>
      <c r="E87" s="7">
        <f t="shared" si="32"/>
        <v>0</v>
      </c>
      <c r="F87" s="7">
        <f t="shared" si="32"/>
        <v>0</v>
      </c>
      <c r="G87" s="7">
        <f t="shared" si="32"/>
        <v>0</v>
      </c>
      <c r="H87" s="7">
        <f t="shared" si="32"/>
        <v>0</v>
      </c>
    </row>
    <row r="88" spans="1:8" x14ac:dyDescent="0.25">
      <c r="A88" s="7">
        <f t="shared" si="27"/>
        <v>0</v>
      </c>
      <c r="B88" s="7">
        <f t="shared" si="33"/>
        <v>0</v>
      </c>
      <c r="C88" s="7">
        <f t="shared" si="32"/>
        <v>0</v>
      </c>
      <c r="D88" s="7">
        <f t="shared" si="32"/>
        <v>0</v>
      </c>
      <c r="E88" s="7">
        <f t="shared" si="32"/>
        <v>0</v>
      </c>
      <c r="F88" s="7">
        <f t="shared" si="32"/>
        <v>0</v>
      </c>
      <c r="G88" s="7">
        <f t="shared" si="32"/>
        <v>0</v>
      </c>
      <c r="H88" s="7">
        <f t="shared" si="32"/>
        <v>0</v>
      </c>
    </row>
    <row r="89" spans="1:8" x14ac:dyDescent="0.25">
      <c r="A89" s="7">
        <f t="shared" si="27"/>
        <v>0</v>
      </c>
      <c r="B89" s="7">
        <f t="shared" si="33"/>
        <v>0</v>
      </c>
      <c r="C89" s="7">
        <f t="shared" si="32"/>
        <v>0</v>
      </c>
      <c r="D89" s="7">
        <f t="shared" si="32"/>
        <v>0</v>
      </c>
      <c r="E89" s="7">
        <f t="shared" si="32"/>
        <v>0</v>
      </c>
      <c r="F89" s="7">
        <f t="shared" si="32"/>
        <v>0</v>
      </c>
      <c r="G89" s="7">
        <f t="shared" si="32"/>
        <v>0</v>
      </c>
      <c r="H89" s="7">
        <f t="shared" si="32"/>
        <v>0</v>
      </c>
    </row>
    <row r="90" spans="1:8" x14ac:dyDescent="0.25">
      <c r="A90" s="7">
        <f t="shared" si="27"/>
        <v>0</v>
      </c>
      <c r="B90" s="7">
        <f t="shared" si="33"/>
        <v>0</v>
      </c>
      <c r="C90" s="7">
        <f t="shared" si="32"/>
        <v>0</v>
      </c>
      <c r="D90" s="7">
        <f t="shared" si="32"/>
        <v>0</v>
      </c>
      <c r="E90" s="7">
        <f t="shared" si="32"/>
        <v>0</v>
      </c>
      <c r="F90" s="7">
        <f t="shared" si="32"/>
        <v>0</v>
      </c>
      <c r="G90" s="7">
        <f t="shared" si="32"/>
        <v>0</v>
      </c>
      <c r="H90" s="7">
        <f t="shared" si="32"/>
        <v>0</v>
      </c>
    </row>
    <row r="91" spans="1:8" x14ac:dyDescent="0.25">
      <c r="A91" s="7">
        <f t="shared" si="27"/>
        <v>0</v>
      </c>
      <c r="B91" s="7">
        <f t="shared" ref="B91:B98" si="34">H33*$B$72</f>
        <v>0</v>
      </c>
      <c r="C91" s="7">
        <f t="shared" si="32"/>
        <v>0</v>
      </c>
      <c r="D91" s="7">
        <f t="shared" ref="D91:D94" si="35">(C91/C$72)*D$72</f>
        <v>0</v>
      </c>
      <c r="E91" s="7">
        <f t="shared" ref="E91:E94" si="36">(D91/D$72)*E$72</f>
        <v>0</v>
      </c>
      <c r="F91" s="7">
        <f t="shared" ref="F91:F94" si="37">(E91/E$72)*F$72</f>
        <v>0</v>
      </c>
      <c r="G91" s="7">
        <f t="shared" ref="G91:G94" si="38">(F91/F$72)*G$72</f>
        <v>0</v>
      </c>
      <c r="H91" s="7">
        <f t="shared" si="32"/>
        <v>0</v>
      </c>
    </row>
    <row r="92" spans="1:8" x14ac:dyDescent="0.25">
      <c r="A92" s="7">
        <f t="shared" si="27"/>
        <v>0</v>
      </c>
      <c r="B92" s="7">
        <f t="shared" si="34"/>
        <v>0</v>
      </c>
      <c r="C92" s="7">
        <f t="shared" si="32"/>
        <v>0</v>
      </c>
      <c r="D92" s="7">
        <f t="shared" si="35"/>
        <v>0</v>
      </c>
      <c r="E92" s="7">
        <f t="shared" si="36"/>
        <v>0</v>
      </c>
      <c r="F92" s="7">
        <f t="shared" si="37"/>
        <v>0</v>
      </c>
      <c r="G92" s="7">
        <f t="shared" si="38"/>
        <v>0</v>
      </c>
      <c r="H92" s="7"/>
    </row>
    <row r="93" spans="1:8" x14ac:dyDescent="0.25">
      <c r="A93" s="7">
        <f t="shared" si="27"/>
        <v>0</v>
      </c>
      <c r="B93" s="7">
        <f t="shared" si="34"/>
        <v>0</v>
      </c>
      <c r="C93" s="7">
        <f t="shared" si="32"/>
        <v>0</v>
      </c>
      <c r="D93" s="7">
        <f t="shared" si="35"/>
        <v>0</v>
      </c>
      <c r="E93" s="7">
        <f t="shared" si="36"/>
        <v>0</v>
      </c>
      <c r="F93" s="7">
        <f t="shared" si="37"/>
        <v>0</v>
      </c>
      <c r="G93" s="7">
        <f t="shared" si="38"/>
        <v>0</v>
      </c>
      <c r="H93" s="7"/>
    </row>
    <row r="94" spans="1:8" x14ac:dyDescent="0.25">
      <c r="A94" s="7">
        <f t="shared" si="27"/>
        <v>0</v>
      </c>
      <c r="B94" s="7">
        <f t="shared" si="34"/>
        <v>0</v>
      </c>
      <c r="C94" s="7">
        <f t="shared" si="32"/>
        <v>0</v>
      </c>
      <c r="D94" s="7">
        <f t="shared" si="35"/>
        <v>0</v>
      </c>
      <c r="E94" s="7">
        <f t="shared" si="36"/>
        <v>0</v>
      </c>
      <c r="F94" s="7">
        <f t="shared" si="37"/>
        <v>0</v>
      </c>
      <c r="G94" s="7">
        <f t="shared" si="38"/>
        <v>0</v>
      </c>
      <c r="H94" s="7"/>
    </row>
    <row r="95" spans="1:8" x14ac:dyDescent="0.25">
      <c r="A95" s="7" t="str">
        <f t="shared" si="27"/>
        <v>Pomegranate</v>
      </c>
      <c r="B95" s="7">
        <f t="shared" si="34"/>
        <v>0</v>
      </c>
      <c r="C95" s="7">
        <f t="shared" si="32"/>
        <v>0</v>
      </c>
      <c r="D95" s="7">
        <f t="shared" si="32"/>
        <v>0</v>
      </c>
      <c r="E95" s="7">
        <f t="shared" si="32"/>
        <v>0</v>
      </c>
      <c r="F95" s="7">
        <f t="shared" si="32"/>
        <v>0</v>
      </c>
      <c r="G95" s="7">
        <f t="shared" si="32"/>
        <v>0</v>
      </c>
      <c r="H95" s="7">
        <f t="shared" si="32"/>
        <v>0</v>
      </c>
    </row>
    <row r="96" spans="1:8" x14ac:dyDescent="0.25">
      <c r="A96" s="7" t="str">
        <f t="shared" si="27"/>
        <v>Custard Apple</v>
      </c>
      <c r="B96" s="7">
        <f t="shared" si="34"/>
        <v>0</v>
      </c>
      <c r="C96" s="7">
        <f t="shared" ref="C96:H98" si="39">(B96/B$72)*C$72</f>
        <v>0</v>
      </c>
      <c r="D96" s="7">
        <f t="shared" si="39"/>
        <v>0</v>
      </c>
      <c r="E96" s="7">
        <f t="shared" si="39"/>
        <v>0</v>
      </c>
      <c r="F96" s="7">
        <f t="shared" si="39"/>
        <v>0</v>
      </c>
      <c r="G96" s="7">
        <f t="shared" si="39"/>
        <v>0</v>
      </c>
      <c r="H96" s="7">
        <f t="shared" si="39"/>
        <v>0</v>
      </c>
    </row>
    <row r="97" spans="1:9" x14ac:dyDescent="0.25">
      <c r="A97" s="7" t="str">
        <f t="shared" si="27"/>
        <v>Guava</v>
      </c>
      <c r="B97" s="7">
        <f t="shared" si="34"/>
        <v>0</v>
      </c>
      <c r="C97" s="7">
        <f t="shared" si="39"/>
        <v>0</v>
      </c>
      <c r="D97" s="7">
        <f t="shared" si="39"/>
        <v>0</v>
      </c>
      <c r="E97" s="7">
        <f t="shared" si="39"/>
        <v>0</v>
      </c>
      <c r="F97" s="7">
        <f t="shared" si="39"/>
        <v>0</v>
      </c>
      <c r="G97" s="7">
        <f t="shared" si="39"/>
        <v>0</v>
      </c>
      <c r="H97" s="7">
        <f t="shared" si="39"/>
        <v>0</v>
      </c>
    </row>
    <row r="98" spans="1:9" x14ac:dyDescent="0.25">
      <c r="A98" s="7" t="str">
        <f t="shared" si="27"/>
        <v>Citrus</v>
      </c>
      <c r="B98" s="7">
        <f t="shared" si="34"/>
        <v>0</v>
      </c>
      <c r="C98" s="7">
        <f t="shared" si="39"/>
        <v>0</v>
      </c>
      <c r="D98" s="7">
        <f t="shared" ref="D98" si="40">(C98/C$72)*D$72</f>
        <v>0</v>
      </c>
      <c r="E98" s="7">
        <f t="shared" ref="E98" si="41">(D98/D$72)*E$72</f>
        <v>0</v>
      </c>
      <c r="F98" s="7">
        <f t="shared" ref="F98" si="42">(E98/E$72)*F$72</f>
        <v>0</v>
      </c>
      <c r="G98" s="7">
        <f t="shared" ref="G98" si="43">(F98/F$72)*G$72</f>
        <v>0</v>
      </c>
      <c r="H98" s="7">
        <f t="shared" ref="H98" si="44">(G98/G$72)*H$72</f>
        <v>0</v>
      </c>
      <c r="I98" s="11"/>
    </row>
    <row r="99" spans="1:9" x14ac:dyDescent="0.25">
      <c r="A99" s="482" t="s">
        <v>536</v>
      </c>
      <c r="B99" s="483"/>
      <c r="C99" s="483"/>
      <c r="D99" s="483"/>
      <c r="E99" s="483"/>
      <c r="F99" s="483"/>
      <c r="G99" s="483"/>
      <c r="H99" s="484"/>
    </row>
    <row r="100" spans="1:9" x14ac:dyDescent="0.25">
      <c r="A100" s="485" t="s">
        <v>0</v>
      </c>
      <c r="B100" s="35">
        <v>0.65</v>
      </c>
      <c r="C100" s="36">
        <f>B100+0.05</f>
        <v>0.70000000000000007</v>
      </c>
      <c r="D100" s="36">
        <f t="shared" ref="D100:G100" si="45">C100+0.05</f>
        <v>0.75000000000000011</v>
      </c>
      <c r="E100" s="36">
        <f t="shared" si="45"/>
        <v>0.80000000000000016</v>
      </c>
      <c r="F100" s="36">
        <f t="shared" si="45"/>
        <v>0.8500000000000002</v>
      </c>
      <c r="G100" s="36">
        <f t="shared" si="45"/>
        <v>0.90000000000000024</v>
      </c>
      <c r="H100" s="36">
        <f>G100+0.05</f>
        <v>0.95000000000000029</v>
      </c>
    </row>
    <row r="101" spans="1:9" x14ac:dyDescent="0.25">
      <c r="A101" s="486"/>
      <c r="B101" s="6" t="s">
        <v>2</v>
      </c>
      <c r="C101" s="6" t="s">
        <v>3</v>
      </c>
      <c r="D101" s="6" t="s">
        <v>4</v>
      </c>
      <c r="E101" s="6" t="s">
        <v>5</v>
      </c>
      <c r="F101" s="6" t="s">
        <v>6</v>
      </c>
      <c r="G101" s="6" t="s">
        <v>166</v>
      </c>
      <c r="H101" s="6" t="s">
        <v>165</v>
      </c>
    </row>
    <row r="102" spans="1:9" s="34" customFormat="1" x14ac:dyDescent="0.25">
      <c r="A102" s="7" t="str">
        <f t="shared" ref="A102:A126" si="46">A74</f>
        <v>Onion</v>
      </c>
      <c r="B102" s="7">
        <f t="shared" ref="B102:B110" si="47">D14*$B$100</f>
        <v>0</v>
      </c>
      <c r="C102" s="37">
        <f t="shared" ref="C102:H117" si="48">(B102/B$100)*C$100</f>
        <v>0</v>
      </c>
      <c r="D102" s="37">
        <f t="shared" si="48"/>
        <v>0</v>
      </c>
      <c r="E102" s="37">
        <f t="shared" si="48"/>
        <v>0</v>
      </c>
      <c r="F102" s="37">
        <f t="shared" si="48"/>
        <v>0</v>
      </c>
      <c r="G102" s="37">
        <f t="shared" si="48"/>
        <v>0</v>
      </c>
      <c r="H102" s="37">
        <f t="shared" si="48"/>
        <v>0</v>
      </c>
    </row>
    <row r="103" spans="1:9" x14ac:dyDescent="0.25">
      <c r="A103" s="7" t="str">
        <f t="shared" si="46"/>
        <v>Tomato</v>
      </c>
      <c r="B103" s="7">
        <f t="shared" si="47"/>
        <v>0</v>
      </c>
      <c r="C103" s="37">
        <f t="shared" si="48"/>
        <v>0</v>
      </c>
      <c r="D103" s="37">
        <f>(C103/C100)*D100</f>
        <v>0</v>
      </c>
      <c r="E103" s="37">
        <f t="shared" ref="E103:G103" si="49">(D103/D100)*E100</f>
        <v>0</v>
      </c>
      <c r="F103" s="37">
        <f t="shared" si="49"/>
        <v>0</v>
      </c>
      <c r="G103" s="37">
        <f t="shared" si="49"/>
        <v>0</v>
      </c>
      <c r="H103" s="37">
        <f>(G103/G100)*H100</f>
        <v>0</v>
      </c>
    </row>
    <row r="104" spans="1:9" x14ac:dyDescent="0.25">
      <c r="A104" s="7" t="str">
        <f t="shared" si="46"/>
        <v>Okra</v>
      </c>
      <c r="B104" s="7">
        <f t="shared" si="47"/>
        <v>0</v>
      </c>
      <c r="C104" s="37">
        <f t="shared" si="48"/>
        <v>0</v>
      </c>
      <c r="D104" s="37">
        <f t="shared" si="48"/>
        <v>0</v>
      </c>
      <c r="E104" s="37">
        <f t="shared" si="48"/>
        <v>0</v>
      </c>
      <c r="F104" s="37">
        <f t="shared" si="48"/>
        <v>0</v>
      </c>
      <c r="G104" s="37">
        <f t="shared" si="48"/>
        <v>0</v>
      </c>
      <c r="H104" s="37">
        <f t="shared" si="48"/>
        <v>0</v>
      </c>
    </row>
    <row r="105" spans="1:9" x14ac:dyDescent="0.25">
      <c r="A105" s="7" t="str">
        <f t="shared" si="46"/>
        <v>Chilli</v>
      </c>
      <c r="B105" s="7">
        <f t="shared" si="47"/>
        <v>0</v>
      </c>
      <c r="C105" s="37">
        <f t="shared" si="48"/>
        <v>0</v>
      </c>
      <c r="D105" s="37">
        <f t="shared" si="48"/>
        <v>0</v>
      </c>
      <c r="E105" s="37">
        <f t="shared" si="48"/>
        <v>0</v>
      </c>
      <c r="F105" s="37">
        <f t="shared" si="48"/>
        <v>0</v>
      </c>
      <c r="G105" s="37">
        <f t="shared" si="48"/>
        <v>0</v>
      </c>
      <c r="H105" s="37">
        <f t="shared" si="48"/>
        <v>0</v>
      </c>
    </row>
    <row r="106" spans="1:9" x14ac:dyDescent="0.25">
      <c r="A106" s="7" t="str">
        <f t="shared" si="46"/>
        <v>Potato</v>
      </c>
      <c r="B106" s="38">
        <f t="shared" si="47"/>
        <v>0</v>
      </c>
      <c r="C106" s="37">
        <f t="shared" si="48"/>
        <v>0</v>
      </c>
      <c r="D106" s="37">
        <f t="shared" si="48"/>
        <v>0</v>
      </c>
      <c r="E106" s="37">
        <f t="shared" si="48"/>
        <v>0</v>
      </c>
      <c r="F106" s="37">
        <f t="shared" si="48"/>
        <v>0</v>
      </c>
      <c r="G106" s="37">
        <f t="shared" si="48"/>
        <v>0</v>
      </c>
      <c r="H106" s="37">
        <f t="shared" si="48"/>
        <v>0</v>
      </c>
    </row>
    <row r="107" spans="1:9" x14ac:dyDescent="0.25">
      <c r="A107" s="7">
        <f t="shared" si="46"/>
        <v>0</v>
      </c>
      <c r="B107" s="7">
        <f t="shared" si="47"/>
        <v>0</v>
      </c>
      <c r="C107" s="37">
        <f t="shared" si="48"/>
        <v>0</v>
      </c>
      <c r="D107" s="37">
        <f t="shared" si="48"/>
        <v>0</v>
      </c>
      <c r="E107" s="37">
        <f t="shared" si="48"/>
        <v>0</v>
      </c>
      <c r="F107" s="37">
        <f t="shared" si="48"/>
        <v>0</v>
      </c>
      <c r="G107" s="37">
        <f t="shared" si="48"/>
        <v>0</v>
      </c>
      <c r="H107" s="37">
        <f t="shared" si="48"/>
        <v>0</v>
      </c>
    </row>
    <row r="108" spans="1:9" x14ac:dyDescent="0.25">
      <c r="A108" s="7">
        <f t="shared" si="46"/>
        <v>0</v>
      </c>
      <c r="B108" s="7">
        <f t="shared" si="47"/>
        <v>0</v>
      </c>
      <c r="C108" s="37">
        <f t="shared" si="48"/>
        <v>0</v>
      </c>
      <c r="D108" s="37">
        <f t="shared" si="48"/>
        <v>0</v>
      </c>
      <c r="E108" s="37">
        <f t="shared" si="48"/>
        <v>0</v>
      </c>
      <c r="F108" s="37">
        <f t="shared" si="48"/>
        <v>0</v>
      </c>
      <c r="G108" s="37">
        <f t="shared" si="48"/>
        <v>0</v>
      </c>
      <c r="H108" s="37">
        <f t="shared" si="48"/>
        <v>0</v>
      </c>
    </row>
    <row r="109" spans="1:9" x14ac:dyDescent="0.25">
      <c r="A109" s="7">
        <f t="shared" si="46"/>
        <v>0</v>
      </c>
      <c r="B109" s="7">
        <f t="shared" si="47"/>
        <v>0</v>
      </c>
      <c r="C109" s="37">
        <f t="shared" si="48"/>
        <v>0</v>
      </c>
      <c r="D109" s="37">
        <f t="shared" si="48"/>
        <v>0</v>
      </c>
      <c r="E109" s="37">
        <f t="shared" si="48"/>
        <v>0</v>
      </c>
      <c r="F109" s="37">
        <f t="shared" si="48"/>
        <v>0</v>
      </c>
      <c r="G109" s="37">
        <f t="shared" si="48"/>
        <v>0</v>
      </c>
      <c r="H109" s="37">
        <f t="shared" si="48"/>
        <v>0</v>
      </c>
    </row>
    <row r="110" spans="1:9" x14ac:dyDescent="0.25">
      <c r="A110" s="7">
        <f t="shared" si="46"/>
        <v>0</v>
      </c>
      <c r="B110" s="7">
        <f t="shared" si="47"/>
        <v>0</v>
      </c>
      <c r="C110" s="37">
        <f t="shared" si="48"/>
        <v>0</v>
      </c>
      <c r="D110" s="37">
        <f t="shared" si="48"/>
        <v>0</v>
      </c>
      <c r="E110" s="37">
        <f t="shared" si="48"/>
        <v>0</v>
      </c>
      <c r="F110" s="37">
        <f t="shared" si="48"/>
        <v>0</v>
      </c>
      <c r="G110" s="37">
        <f t="shared" si="48"/>
        <v>0</v>
      </c>
      <c r="H110" s="37">
        <f t="shared" si="48"/>
        <v>0</v>
      </c>
    </row>
    <row r="111" spans="1:9" x14ac:dyDescent="0.25">
      <c r="A111" s="7" t="str">
        <f t="shared" si="46"/>
        <v>Onion</v>
      </c>
      <c r="B111" s="7">
        <f t="shared" ref="B111:B118" si="50">D24*$B$100</f>
        <v>0</v>
      </c>
      <c r="C111" s="37">
        <f t="shared" si="48"/>
        <v>0</v>
      </c>
      <c r="D111" s="37">
        <f t="shared" si="48"/>
        <v>0</v>
      </c>
      <c r="E111" s="37">
        <f t="shared" si="48"/>
        <v>0</v>
      </c>
      <c r="F111" s="37">
        <f t="shared" si="48"/>
        <v>0</v>
      </c>
      <c r="G111" s="37">
        <f t="shared" si="48"/>
        <v>0</v>
      </c>
      <c r="H111" s="37">
        <f t="shared" si="48"/>
        <v>0</v>
      </c>
    </row>
    <row r="112" spans="1:9" x14ac:dyDescent="0.25">
      <c r="A112" s="7" t="str">
        <f t="shared" si="46"/>
        <v>Tomato</v>
      </c>
      <c r="B112" s="7">
        <f t="shared" si="50"/>
        <v>0</v>
      </c>
      <c r="C112" s="37">
        <f t="shared" si="48"/>
        <v>0</v>
      </c>
      <c r="D112" s="37">
        <f t="shared" si="48"/>
        <v>0</v>
      </c>
      <c r="E112" s="37">
        <f t="shared" si="48"/>
        <v>0</v>
      </c>
      <c r="F112" s="37">
        <f t="shared" si="48"/>
        <v>0</v>
      </c>
      <c r="G112" s="37">
        <f t="shared" si="48"/>
        <v>0</v>
      </c>
      <c r="H112" s="37">
        <f t="shared" si="48"/>
        <v>0</v>
      </c>
    </row>
    <row r="113" spans="1:9" x14ac:dyDescent="0.25">
      <c r="A113" s="7" t="str">
        <f t="shared" si="46"/>
        <v>Okra</v>
      </c>
      <c r="B113" s="7">
        <f t="shared" si="50"/>
        <v>0</v>
      </c>
      <c r="C113" s="37">
        <f t="shared" si="48"/>
        <v>0</v>
      </c>
      <c r="D113" s="37">
        <f t="shared" si="48"/>
        <v>0</v>
      </c>
      <c r="E113" s="37">
        <f t="shared" si="48"/>
        <v>0</v>
      </c>
      <c r="F113" s="37">
        <f t="shared" si="48"/>
        <v>0</v>
      </c>
      <c r="G113" s="37">
        <f t="shared" si="48"/>
        <v>0</v>
      </c>
      <c r="H113" s="37">
        <f t="shared" si="48"/>
        <v>0</v>
      </c>
    </row>
    <row r="114" spans="1:9" x14ac:dyDescent="0.25">
      <c r="A114" s="7" t="str">
        <f t="shared" si="46"/>
        <v>Chilli</v>
      </c>
      <c r="B114" s="7">
        <f t="shared" si="50"/>
        <v>0</v>
      </c>
      <c r="C114" s="37">
        <f t="shared" si="48"/>
        <v>0</v>
      </c>
      <c r="D114" s="37">
        <f t="shared" si="48"/>
        <v>0</v>
      </c>
      <c r="E114" s="37">
        <f t="shared" si="48"/>
        <v>0</v>
      </c>
      <c r="F114" s="37">
        <f t="shared" si="48"/>
        <v>0</v>
      </c>
      <c r="G114" s="37">
        <f t="shared" si="48"/>
        <v>0</v>
      </c>
      <c r="H114" s="37">
        <f t="shared" si="48"/>
        <v>0</v>
      </c>
    </row>
    <row r="115" spans="1:9" x14ac:dyDescent="0.25">
      <c r="A115" s="7" t="str">
        <f t="shared" si="46"/>
        <v>Brinjal</v>
      </c>
      <c r="B115" s="7">
        <f t="shared" si="50"/>
        <v>0</v>
      </c>
      <c r="C115" s="37">
        <f t="shared" si="48"/>
        <v>0</v>
      </c>
      <c r="D115" s="37">
        <f t="shared" si="48"/>
        <v>0</v>
      </c>
      <c r="E115" s="37">
        <f t="shared" si="48"/>
        <v>0</v>
      </c>
      <c r="F115" s="37">
        <f t="shared" si="48"/>
        <v>0</v>
      </c>
      <c r="G115" s="37">
        <f t="shared" si="48"/>
        <v>0</v>
      </c>
      <c r="H115" s="37">
        <f t="shared" si="48"/>
        <v>0</v>
      </c>
    </row>
    <row r="116" spans="1:9" x14ac:dyDescent="0.25">
      <c r="A116" s="7">
        <f t="shared" si="46"/>
        <v>0</v>
      </c>
      <c r="B116" s="7">
        <f t="shared" si="50"/>
        <v>0</v>
      </c>
      <c r="C116" s="37">
        <f t="shared" si="48"/>
        <v>0</v>
      </c>
      <c r="D116" s="37">
        <f t="shared" si="48"/>
        <v>0</v>
      </c>
      <c r="E116" s="37">
        <f t="shared" si="48"/>
        <v>0</v>
      </c>
      <c r="F116" s="37">
        <f t="shared" si="48"/>
        <v>0</v>
      </c>
      <c r="G116" s="37">
        <f t="shared" si="48"/>
        <v>0</v>
      </c>
      <c r="H116" s="37">
        <f t="shared" si="48"/>
        <v>0</v>
      </c>
    </row>
    <row r="117" spans="1:9" x14ac:dyDescent="0.25">
      <c r="A117" s="7">
        <f t="shared" si="46"/>
        <v>0</v>
      </c>
      <c r="B117" s="7">
        <f t="shared" si="50"/>
        <v>0</v>
      </c>
      <c r="C117" s="37">
        <f t="shared" si="48"/>
        <v>0</v>
      </c>
      <c r="D117" s="37">
        <f t="shared" si="48"/>
        <v>0</v>
      </c>
      <c r="E117" s="37">
        <f t="shared" si="48"/>
        <v>0</v>
      </c>
      <c r="F117" s="37">
        <f t="shared" si="48"/>
        <v>0</v>
      </c>
      <c r="G117" s="37">
        <f t="shared" si="48"/>
        <v>0</v>
      </c>
      <c r="H117" s="37">
        <f t="shared" si="48"/>
        <v>0</v>
      </c>
    </row>
    <row r="118" spans="1:9" x14ac:dyDescent="0.25">
      <c r="A118" s="7">
        <f t="shared" si="46"/>
        <v>0</v>
      </c>
      <c r="B118" s="7">
        <f t="shared" si="50"/>
        <v>0</v>
      </c>
      <c r="C118" s="37">
        <f t="shared" ref="C118:H126" si="51">(B118/B$100)*C$100</f>
        <v>0</v>
      </c>
      <c r="D118" s="37">
        <f t="shared" si="51"/>
        <v>0</v>
      </c>
      <c r="E118" s="37">
        <f t="shared" si="51"/>
        <v>0</v>
      </c>
      <c r="F118" s="37">
        <f t="shared" si="51"/>
        <v>0</v>
      </c>
      <c r="G118" s="37">
        <f t="shared" si="51"/>
        <v>0</v>
      </c>
      <c r="H118" s="37">
        <f t="shared" si="51"/>
        <v>0</v>
      </c>
    </row>
    <row r="119" spans="1:9" x14ac:dyDescent="0.25">
      <c r="A119" s="7">
        <f t="shared" si="46"/>
        <v>0</v>
      </c>
      <c r="B119" s="7">
        <f t="shared" ref="B119:B126" si="52">D33*$B$100</f>
        <v>0</v>
      </c>
      <c r="C119" s="37">
        <f t="shared" si="51"/>
        <v>0</v>
      </c>
      <c r="D119" s="37">
        <f t="shared" si="51"/>
        <v>0</v>
      </c>
      <c r="E119" s="37">
        <f t="shared" si="51"/>
        <v>0</v>
      </c>
      <c r="F119" s="37">
        <f t="shared" si="51"/>
        <v>0</v>
      </c>
      <c r="G119" s="37">
        <f t="shared" si="51"/>
        <v>0</v>
      </c>
      <c r="H119" s="37">
        <f t="shared" si="51"/>
        <v>0</v>
      </c>
    </row>
    <row r="120" spans="1:9" x14ac:dyDescent="0.25">
      <c r="A120" s="7">
        <f t="shared" si="46"/>
        <v>0</v>
      </c>
      <c r="B120" s="7">
        <f t="shared" si="52"/>
        <v>0</v>
      </c>
      <c r="C120" s="37">
        <f t="shared" si="51"/>
        <v>0</v>
      </c>
      <c r="D120" s="37">
        <f t="shared" ref="D120:D122" si="53">(C120/C$100)*D$100</f>
        <v>0</v>
      </c>
      <c r="E120" s="37">
        <f t="shared" ref="E120:E122" si="54">(D120/D$100)*E$100</f>
        <v>0</v>
      </c>
      <c r="F120" s="37">
        <f t="shared" ref="F120:F122" si="55">(E120/E$100)*F$100</f>
        <v>0</v>
      </c>
      <c r="G120" s="37">
        <f t="shared" ref="G120:G122" si="56">(F120/F$100)*G$100</f>
        <v>0</v>
      </c>
      <c r="H120" s="37">
        <f t="shared" si="51"/>
        <v>0</v>
      </c>
    </row>
    <row r="121" spans="1:9" x14ac:dyDescent="0.25">
      <c r="A121" s="7">
        <f t="shared" si="46"/>
        <v>0</v>
      </c>
      <c r="B121" s="7">
        <f t="shared" si="52"/>
        <v>0</v>
      </c>
      <c r="C121" s="37">
        <f t="shared" si="51"/>
        <v>0</v>
      </c>
      <c r="D121" s="37">
        <f t="shared" si="53"/>
        <v>0</v>
      </c>
      <c r="E121" s="37">
        <f t="shared" si="54"/>
        <v>0</v>
      </c>
      <c r="F121" s="37">
        <f t="shared" si="55"/>
        <v>0</v>
      </c>
      <c r="G121" s="37">
        <f t="shared" si="56"/>
        <v>0</v>
      </c>
      <c r="H121" s="37">
        <f t="shared" si="51"/>
        <v>0</v>
      </c>
    </row>
    <row r="122" spans="1:9" x14ac:dyDescent="0.25">
      <c r="A122" s="7">
        <f t="shared" si="46"/>
        <v>0</v>
      </c>
      <c r="B122" s="7">
        <f t="shared" si="52"/>
        <v>0</v>
      </c>
      <c r="C122" s="37">
        <f t="shared" si="51"/>
        <v>0</v>
      </c>
      <c r="D122" s="37">
        <f t="shared" si="53"/>
        <v>0</v>
      </c>
      <c r="E122" s="37">
        <f t="shared" si="54"/>
        <v>0</v>
      </c>
      <c r="F122" s="37">
        <f t="shared" si="55"/>
        <v>0</v>
      </c>
      <c r="G122" s="37">
        <f t="shared" si="56"/>
        <v>0</v>
      </c>
      <c r="H122" s="37">
        <f t="shared" si="51"/>
        <v>0</v>
      </c>
    </row>
    <row r="123" spans="1:9" x14ac:dyDescent="0.25">
      <c r="A123" s="7" t="str">
        <f t="shared" si="46"/>
        <v>Pomegranate</v>
      </c>
      <c r="B123" s="7">
        <f t="shared" si="52"/>
        <v>0</v>
      </c>
      <c r="C123" s="37">
        <f t="shared" si="51"/>
        <v>0</v>
      </c>
      <c r="D123" s="37">
        <f t="shared" si="51"/>
        <v>0</v>
      </c>
      <c r="E123" s="37">
        <f t="shared" si="51"/>
        <v>0</v>
      </c>
      <c r="F123" s="37">
        <f t="shared" si="51"/>
        <v>0</v>
      </c>
      <c r="G123" s="37">
        <f t="shared" si="51"/>
        <v>0</v>
      </c>
      <c r="H123" s="37">
        <f t="shared" si="51"/>
        <v>0</v>
      </c>
    </row>
    <row r="124" spans="1:9" x14ac:dyDescent="0.25">
      <c r="A124" s="7" t="str">
        <f t="shared" si="46"/>
        <v>Custard Apple</v>
      </c>
      <c r="B124" s="7">
        <f t="shared" si="52"/>
        <v>0</v>
      </c>
      <c r="C124" s="37">
        <f t="shared" si="51"/>
        <v>0</v>
      </c>
      <c r="D124" s="37">
        <f t="shared" ref="D124" si="57">(C124/C$100)*D$100</f>
        <v>0</v>
      </c>
      <c r="E124" s="37">
        <f t="shared" ref="E124" si="58">(D124/D$100)*E$100</f>
        <v>0</v>
      </c>
      <c r="F124" s="37">
        <f t="shared" ref="F124" si="59">(E124/E$100)*F$100</f>
        <v>0</v>
      </c>
      <c r="G124" s="37">
        <f t="shared" ref="G124" si="60">(F124/F$100)*G$100</f>
        <v>0</v>
      </c>
      <c r="H124" s="37">
        <f t="shared" si="51"/>
        <v>0</v>
      </c>
    </row>
    <row r="125" spans="1:9" x14ac:dyDescent="0.25">
      <c r="A125" s="7" t="str">
        <f t="shared" si="46"/>
        <v>Guava</v>
      </c>
      <c r="B125" s="7">
        <f t="shared" si="52"/>
        <v>0</v>
      </c>
      <c r="C125" s="37">
        <f t="shared" si="51"/>
        <v>0</v>
      </c>
      <c r="D125" s="37">
        <f t="shared" si="51"/>
        <v>0</v>
      </c>
      <c r="E125" s="37">
        <f t="shared" si="51"/>
        <v>0</v>
      </c>
      <c r="F125" s="37">
        <f t="shared" si="51"/>
        <v>0</v>
      </c>
      <c r="G125" s="37">
        <f t="shared" si="51"/>
        <v>0</v>
      </c>
      <c r="H125" s="37">
        <f t="shared" si="51"/>
        <v>0</v>
      </c>
    </row>
    <row r="126" spans="1:9" x14ac:dyDescent="0.25">
      <c r="A126" s="7" t="str">
        <f t="shared" si="46"/>
        <v>Citrus</v>
      </c>
      <c r="B126" s="7">
        <f t="shared" si="52"/>
        <v>0</v>
      </c>
      <c r="C126" s="37">
        <f t="shared" si="51"/>
        <v>0</v>
      </c>
      <c r="D126" s="37">
        <f t="shared" si="51"/>
        <v>0</v>
      </c>
      <c r="E126" s="37">
        <f t="shared" si="51"/>
        <v>0</v>
      </c>
      <c r="F126" s="37">
        <f t="shared" si="51"/>
        <v>0</v>
      </c>
      <c r="G126" s="37">
        <f t="shared" si="51"/>
        <v>0</v>
      </c>
      <c r="H126" s="37">
        <f t="shared" si="51"/>
        <v>0</v>
      </c>
    </row>
    <row r="128" spans="1:9" x14ac:dyDescent="0.25">
      <c r="C128" s="13"/>
      <c r="D128" s="15"/>
      <c r="E128" s="15"/>
      <c r="F128" s="15"/>
      <c r="G128" s="15"/>
      <c r="H128" s="15"/>
      <c r="I128" s="15"/>
    </row>
    <row r="129" spans="1:9" x14ac:dyDescent="0.25">
      <c r="A129" s="1" t="s">
        <v>500</v>
      </c>
      <c r="C129" s="2"/>
      <c r="D129" s="2"/>
      <c r="E129" s="2"/>
      <c r="F129" s="2"/>
      <c r="G129" s="2"/>
      <c r="H129" s="2"/>
      <c r="I129" s="2"/>
    </row>
    <row r="130" spans="1:9" x14ac:dyDescent="0.25">
      <c r="A130" s="1">
        <v>1</v>
      </c>
      <c r="B130" s="1" t="s">
        <v>501</v>
      </c>
    </row>
    <row r="131" spans="1:9" x14ac:dyDescent="0.25">
      <c r="A131" s="1">
        <v>2</v>
      </c>
      <c r="B131" s="1" t="s">
        <v>502</v>
      </c>
    </row>
    <row r="132" spans="1:9" x14ac:dyDescent="0.25">
      <c r="A132" s="1">
        <v>3</v>
      </c>
      <c r="B132" s="1" t="s">
        <v>503</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3"/>
  <sheetViews>
    <sheetView topLeftCell="A169" workbookViewId="0">
      <selection activeCell="A177" sqref="A177:C200"/>
    </sheetView>
  </sheetViews>
  <sheetFormatPr defaultColWidth="8.7109375" defaultRowHeight="15" x14ac:dyDescent="0.25"/>
  <cols>
    <col min="1" max="1" width="42.42578125" style="39" bestFit="1" customWidth="1"/>
    <col min="2" max="2" width="23.42578125" style="39" customWidth="1"/>
    <col min="3" max="3" width="11.85546875" style="39" customWidth="1"/>
    <col min="4" max="5" width="15.85546875" style="39" bestFit="1" customWidth="1"/>
    <col min="6" max="6" width="18.140625" style="39" bestFit="1" customWidth="1"/>
    <col min="7" max="10" width="15.85546875" style="39" bestFit="1" customWidth="1"/>
    <col min="11" max="11" width="10.5703125" style="39" bestFit="1" customWidth="1"/>
    <col min="12" max="12" width="8.7109375" style="39"/>
    <col min="13" max="13" width="22.85546875" style="39" bestFit="1" customWidth="1"/>
    <col min="14" max="14" width="12.85546875" style="39" bestFit="1" customWidth="1"/>
    <col min="15" max="16384" width="8.7109375" style="39"/>
  </cols>
  <sheetData>
    <row r="2" spans="1:8" ht="14.45" x14ac:dyDescent="0.35">
      <c r="A2" s="427" t="s">
        <v>537</v>
      </c>
      <c r="B2" s="427"/>
      <c r="C2" s="427"/>
      <c r="D2" s="427"/>
      <c r="E2" s="427"/>
      <c r="F2" s="427"/>
      <c r="G2" s="427"/>
      <c r="H2" s="427"/>
    </row>
    <row r="3" spans="1:8" ht="14.45" x14ac:dyDescent="0.35">
      <c r="A3" s="427" t="s">
        <v>538</v>
      </c>
      <c r="B3" s="427"/>
      <c r="C3" s="427"/>
      <c r="D3" s="427"/>
      <c r="E3" s="427"/>
      <c r="F3" s="427"/>
      <c r="G3" s="427"/>
      <c r="H3" s="427"/>
    </row>
    <row r="4" spans="1:8" ht="14.45" x14ac:dyDescent="0.35">
      <c r="F4" s="427" t="s">
        <v>449</v>
      </c>
      <c r="G4" s="427"/>
      <c r="H4" s="427"/>
    </row>
    <row r="5" spans="1:8" ht="14.45" x14ac:dyDescent="0.35">
      <c r="A5" s="39" t="s">
        <v>159</v>
      </c>
      <c r="B5" s="101">
        <v>20</v>
      </c>
      <c r="C5" s="39" t="s">
        <v>425</v>
      </c>
      <c r="F5" s="66" t="s">
        <v>450</v>
      </c>
      <c r="G5" s="66" t="s">
        <v>451</v>
      </c>
    </row>
    <row r="6" spans="1:8" ht="14.45" x14ac:dyDescent="0.35">
      <c r="A6" s="39" t="s">
        <v>160</v>
      </c>
      <c r="B6" s="102">
        <v>8</v>
      </c>
      <c r="F6" s="47" t="s">
        <v>447</v>
      </c>
      <c r="G6" s="125">
        <v>0.03</v>
      </c>
    </row>
    <row r="7" spans="1:8" ht="14.45" x14ac:dyDescent="0.35">
      <c r="F7" s="47" t="s">
        <v>448</v>
      </c>
      <c r="G7" s="125">
        <v>0.05</v>
      </c>
    </row>
    <row r="8" spans="1:8" ht="14.45" x14ac:dyDescent="0.35">
      <c r="A8" s="39" t="s">
        <v>485</v>
      </c>
      <c r="B8" s="39">
        <v>300</v>
      </c>
      <c r="F8" s="47"/>
      <c r="G8" s="125"/>
    </row>
    <row r="9" spans="1:8" ht="14.45" x14ac:dyDescent="0.35">
      <c r="A9" s="76" t="s">
        <v>0</v>
      </c>
      <c r="B9" s="77" t="s">
        <v>2</v>
      </c>
      <c r="C9" s="77" t="s">
        <v>3</v>
      </c>
      <c r="D9" s="77" t="s">
        <v>4</v>
      </c>
      <c r="E9" s="77" t="s">
        <v>5</v>
      </c>
      <c r="F9" s="77" t="s">
        <v>6</v>
      </c>
      <c r="G9" s="77" t="s">
        <v>166</v>
      </c>
      <c r="H9" s="77" t="s">
        <v>165</v>
      </c>
    </row>
    <row r="10" spans="1:8" ht="14.45" x14ac:dyDescent="0.35">
      <c r="A10" s="47" t="s">
        <v>424</v>
      </c>
      <c r="B10" s="121">
        <f>B33/($B$5*$B$6)</f>
        <v>119.15837500000001</v>
      </c>
      <c r="C10" s="121">
        <f t="shared" ref="C10:H10" si="0">C33/($B$5*$B$6)</f>
        <v>142.99005</v>
      </c>
      <c r="D10" s="121">
        <f t="shared" si="0"/>
        <v>166.82172499999996</v>
      </c>
      <c r="E10" s="121">
        <f t="shared" si="0"/>
        <v>190.65339999999998</v>
      </c>
      <c r="F10" s="121">
        <f t="shared" si="0"/>
        <v>214.48507499999997</v>
      </c>
      <c r="G10" s="121">
        <f t="shared" si="0"/>
        <v>238.31674999999996</v>
      </c>
      <c r="H10" s="121">
        <f t="shared" si="0"/>
        <v>262.14842499999997</v>
      </c>
    </row>
    <row r="11" spans="1:8" ht="14.45" x14ac:dyDescent="0.35">
      <c r="A11" s="126" t="str">
        <f>'10.Grain Production details'!A42</f>
        <v>Maize</v>
      </c>
      <c r="B11" s="126">
        <f>'10.Grain Production details'!B42</f>
        <v>5197.5</v>
      </c>
      <c r="C11" s="126">
        <f>'10.Grain Production details'!C42</f>
        <v>6237</v>
      </c>
      <c r="D11" s="126">
        <f>'10.Grain Production details'!D42</f>
        <v>7276.4999999999991</v>
      </c>
      <c r="E11" s="126">
        <f>'10.Grain Production details'!E42</f>
        <v>8316</v>
      </c>
      <c r="F11" s="126">
        <f>'10.Grain Production details'!F42</f>
        <v>9355.4999999999982</v>
      </c>
      <c r="G11" s="126">
        <f>'10.Grain Production details'!G42</f>
        <v>10394.999999999996</v>
      </c>
      <c r="H11" s="126">
        <f>'10.Grain Production details'!H42</f>
        <v>11434.499999999996</v>
      </c>
    </row>
    <row r="12" spans="1:8" ht="14.45" x14ac:dyDescent="0.35">
      <c r="A12" s="126" t="str">
        <f>'10.Grain Production details'!A43</f>
        <v>Red Gram/Tur</v>
      </c>
      <c r="B12" s="126">
        <f>'10.Grain Production details'!B43</f>
        <v>2772</v>
      </c>
      <c r="C12" s="126">
        <f>'10.Grain Production details'!C43</f>
        <v>3326.4</v>
      </c>
      <c r="D12" s="126">
        <f>'10.Grain Production details'!D43</f>
        <v>3880.7999999999997</v>
      </c>
      <c r="E12" s="126">
        <f>'10.Grain Production details'!E43</f>
        <v>4435.2</v>
      </c>
      <c r="F12" s="126">
        <f>'10.Grain Production details'!F43</f>
        <v>4989.5999999999995</v>
      </c>
      <c r="G12" s="126">
        <f>'10.Grain Production details'!G43</f>
        <v>5543.9999999999991</v>
      </c>
      <c r="H12" s="126">
        <f>'10.Grain Production details'!H43</f>
        <v>6098.4</v>
      </c>
    </row>
    <row r="13" spans="1:8" ht="14.45" x14ac:dyDescent="0.35">
      <c r="A13" s="126" t="str">
        <f>'10.Grain Production details'!A44</f>
        <v>Bajra</v>
      </c>
      <c r="B13" s="126">
        <f>'10.Grain Production details'!B44</f>
        <v>1372</v>
      </c>
      <c r="C13" s="126">
        <f>'10.Grain Production details'!C44</f>
        <v>1646.3999999999999</v>
      </c>
      <c r="D13" s="126">
        <f>'10.Grain Production details'!D44</f>
        <v>1920.8</v>
      </c>
      <c r="E13" s="126">
        <f>'10.Grain Production details'!E44</f>
        <v>2195.1999999999998</v>
      </c>
      <c r="F13" s="126">
        <f>'10.Grain Production details'!F44</f>
        <v>2469.6</v>
      </c>
      <c r="G13" s="126">
        <f>'10.Grain Production details'!G44</f>
        <v>2743.9999999999995</v>
      </c>
      <c r="H13" s="126">
        <f>'10.Grain Production details'!H44</f>
        <v>3018.3999999999996</v>
      </c>
    </row>
    <row r="14" spans="1:8" ht="14.45" hidden="1" x14ac:dyDescent="0.35">
      <c r="A14" s="126">
        <f>'10.Grain Production details'!A45</f>
        <v>0</v>
      </c>
      <c r="B14" s="126">
        <f>'10.Grain Production details'!B45</f>
        <v>0</v>
      </c>
      <c r="C14" s="126">
        <f>'10.Grain Production details'!C45</f>
        <v>0</v>
      </c>
      <c r="D14" s="126">
        <f>'10.Grain Production details'!D45</f>
        <v>0</v>
      </c>
      <c r="E14" s="126">
        <f>'10.Grain Production details'!E45</f>
        <v>0</v>
      </c>
      <c r="F14" s="126">
        <f>'10.Grain Production details'!F45</f>
        <v>0</v>
      </c>
      <c r="G14" s="126">
        <f>'10.Grain Production details'!G45</f>
        <v>0</v>
      </c>
      <c r="H14" s="126">
        <f>'10.Grain Production details'!H45</f>
        <v>0</v>
      </c>
    </row>
    <row r="15" spans="1:8" ht="14.45" hidden="1" x14ac:dyDescent="0.35">
      <c r="A15" s="126">
        <f>'10.Grain Production details'!A46</f>
        <v>0</v>
      </c>
      <c r="B15" s="126">
        <f>'10.Grain Production details'!B46</f>
        <v>0</v>
      </c>
      <c r="C15" s="126">
        <f>'10.Grain Production details'!C46</f>
        <v>0</v>
      </c>
      <c r="D15" s="126">
        <f>'10.Grain Production details'!D46</f>
        <v>0</v>
      </c>
      <c r="E15" s="126">
        <f>'10.Grain Production details'!E46</f>
        <v>0</v>
      </c>
      <c r="F15" s="126">
        <f>'10.Grain Production details'!F46</f>
        <v>0</v>
      </c>
      <c r="G15" s="126">
        <f>'10.Grain Production details'!G46</f>
        <v>0</v>
      </c>
      <c r="H15" s="126">
        <f>'10.Grain Production details'!H46</f>
        <v>0</v>
      </c>
    </row>
    <row r="16" spans="1:8" ht="14.45" hidden="1" x14ac:dyDescent="0.35">
      <c r="A16" s="126">
        <f>'10.Grain Production details'!A47</f>
        <v>0</v>
      </c>
      <c r="B16" s="126">
        <f>'10.Grain Production details'!B47</f>
        <v>0</v>
      </c>
      <c r="C16" s="126">
        <f>'10.Grain Production details'!C47</f>
        <v>0</v>
      </c>
      <c r="D16" s="126">
        <f>'10.Grain Production details'!D47</f>
        <v>0</v>
      </c>
      <c r="E16" s="126">
        <f>'10.Grain Production details'!E47</f>
        <v>0</v>
      </c>
      <c r="F16" s="126">
        <f>'10.Grain Production details'!F47</f>
        <v>0</v>
      </c>
      <c r="G16" s="126">
        <f>'10.Grain Production details'!G47</f>
        <v>0</v>
      </c>
      <c r="H16" s="126">
        <f>'10.Grain Production details'!H47</f>
        <v>0</v>
      </c>
    </row>
    <row r="17" spans="1:8" ht="14.45" hidden="1" x14ac:dyDescent="0.35">
      <c r="A17" s="126">
        <f>'10.Grain Production details'!A48</f>
        <v>0</v>
      </c>
      <c r="B17" s="126">
        <f>'10.Grain Production details'!B48</f>
        <v>0</v>
      </c>
      <c r="C17" s="126">
        <f>'10.Grain Production details'!C48</f>
        <v>0</v>
      </c>
      <c r="D17" s="126">
        <f>'10.Grain Production details'!D48</f>
        <v>0</v>
      </c>
      <c r="E17" s="126">
        <f>'10.Grain Production details'!E48</f>
        <v>0</v>
      </c>
      <c r="F17" s="126">
        <f>'10.Grain Production details'!F48</f>
        <v>0</v>
      </c>
      <c r="G17" s="126">
        <f>'10.Grain Production details'!G48</f>
        <v>0</v>
      </c>
      <c r="H17" s="126">
        <f>'10.Grain Production details'!H48</f>
        <v>0</v>
      </c>
    </row>
    <row r="18" spans="1:8" ht="14.45" hidden="1" x14ac:dyDescent="0.35">
      <c r="A18" s="126">
        <f>'10.Grain Production details'!A49</f>
        <v>0</v>
      </c>
      <c r="B18" s="126">
        <f>'10.Grain Production details'!B49</f>
        <v>0</v>
      </c>
      <c r="C18" s="126">
        <f>'10.Grain Production details'!C49</f>
        <v>0</v>
      </c>
      <c r="D18" s="126">
        <f>'10.Grain Production details'!D49</f>
        <v>0</v>
      </c>
      <c r="E18" s="126">
        <f>'10.Grain Production details'!E49</f>
        <v>0</v>
      </c>
      <c r="F18" s="126">
        <f>'10.Grain Production details'!F49</f>
        <v>0</v>
      </c>
      <c r="G18" s="126">
        <f>'10.Grain Production details'!G49</f>
        <v>0</v>
      </c>
      <c r="H18" s="126">
        <f>'10.Grain Production details'!H49</f>
        <v>0</v>
      </c>
    </row>
    <row r="19" spans="1:8" ht="14.45" hidden="1" x14ac:dyDescent="0.35">
      <c r="A19" s="126">
        <f>'10.Grain Production details'!A50</f>
        <v>0</v>
      </c>
      <c r="B19" s="126">
        <f>'10.Grain Production details'!B50</f>
        <v>0</v>
      </c>
      <c r="C19" s="126">
        <f>'10.Grain Production details'!C50</f>
        <v>0</v>
      </c>
      <c r="D19" s="126">
        <f>'10.Grain Production details'!D50</f>
        <v>0</v>
      </c>
      <c r="E19" s="126">
        <f>'10.Grain Production details'!E50</f>
        <v>0</v>
      </c>
      <c r="F19" s="126">
        <f>'10.Grain Production details'!F50</f>
        <v>0</v>
      </c>
      <c r="G19" s="126">
        <f>'10.Grain Production details'!G50</f>
        <v>0</v>
      </c>
      <c r="H19" s="126">
        <f>'10.Grain Production details'!H50</f>
        <v>0</v>
      </c>
    </row>
    <row r="20" spans="1:8" ht="14.45" x14ac:dyDescent="0.35">
      <c r="A20" s="126" t="str">
        <f>'10.Grain Production details'!A51</f>
        <v>Wheat</v>
      </c>
      <c r="B20" s="126">
        <f>'10.Grain Production details'!B51</f>
        <v>1646.4</v>
      </c>
      <c r="C20" s="126">
        <f>'10.Grain Production details'!C51</f>
        <v>1975.68</v>
      </c>
      <c r="D20" s="126">
        <f>'10.Grain Production details'!D51</f>
        <v>2304.96</v>
      </c>
      <c r="E20" s="126">
        <f>'10.Grain Production details'!E51</f>
        <v>2634.24</v>
      </c>
      <c r="F20" s="126">
        <f>'10.Grain Production details'!F51</f>
        <v>2963.52</v>
      </c>
      <c r="G20" s="126">
        <f>'10.Grain Production details'!G51</f>
        <v>3292.7999999999997</v>
      </c>
      <c r="H20" s="126">
        <f>'10.Grain Production details'!H51</f>
        <v>3622.08</v>
      </c>
    </row>
    <row r="21" spans="1:8" ht="14.45" x14ac:dyDescent="0.35">
      <c r="A21" s="126" t="str">
        <f>'10.Grain Production details'!A52</f>
        <v>Bengal Gram/Channa</v>
      </c>
      <c r="B21" s="126">
        <f>'10.Grain Production details'!B52</f>
        <v>3104.64</v>
      </c>
      <c r="C21" s="126">
        <f>'10.Grain Production details'!C52</f>
        <v>3725.5679999999998</v>
      </c>
      <c r="D21" s="126">
        <f>'10.Grain Production details'!D52</f>
        <v>4346.4959999999992</v>
      </c>
      <c r="E21" s="126">
        <f>'10.Grain Production details'!E52</f>
        <v>4967.4239999999991</v>
      </c>
      <c r="F21" s="126">
        <f>'10.Grain Production details'!F52</f>
        <v>5588.351999999999</v>
      </c>
      <c r="G21" s="126">
        <f>'10.Grain Production details'!G52</f>
        <v>6209.2799999999988</v>
      </c>
      <c r="H21" s="126">
        <f>'10.Grain Production details'!H52</f>
        <v>6830.2079999999987</v>
      </c>
    </row>
    <row r="22" spans="1:8" ht="14.45" x14ac:dyDescent="0.35">
      <c r="A22" s="126" t="str">
        <f>'10.Grain Production details'!A53</f>
        <v>Jawar</v>
      </c>
      <c r="B22" s="126">
        <f>'10.Grain Production details'!B53</f>
        <v>1646.4</v>
      </c>
      <c r="C22" s="126">
        <f>'10.Grain Production details'!C53</f>
        <v>1975.68</v>
      </c>
      <c r="D22" s="126">
        <f>'10.Grain Production details'!D53</f>
        <v>2304.96</v>
      </c>
      <c r="E22" s="126">
        <f>'10.Grain Production details'!E53</f>
        <v>2634.24</v>
      </c>
      <c r="F22" s="126">
        <f>'10.Grain Production details'!F53</f>
        <v>2963.52</v>
      </c>
      <c r="G22" s="126">
        <f>'10.Grain Production details'!G53</f>
        <v>3292.7999999999997</v>
      </c>
      <c r="H22" s="126">
        <f>'10.Grain Production details'!H53</f>
        <v>3622.08</v>
      </c>
    </row>
    <row r="23" spans="1:8" ht="14.45" x14ac:dyDescent="0.35">
      <c r="A23" s="126" t="str">
        <f>'10.Grain Production details'!A54</f>
        <v>Maize</v>
      </c>
      <c r="B23" s="126">
        <f>'10.Grain Production details'!B54</f>
        <v>3326.4</v>
      </c>
      <c r="C23" s="126">
        <f>'10.Grain Production details'!C54</f>
        <v>3991.68</v>
      </c>
      <c r="D23" s="126">
        <f>'10.Grain Production details'!D54</f>
        <v>4656.96</v>
      </c>
      <c r="E23" s="126">
        <f>'10.Grain Production details'!E54</f>
        <v>5322.24</v>
      </c>
      <c r="F23" s="126">
        <f>'10.Grain Production details'!F54</f>
        <v>5987.5199999999995</v>
      </c>
      <c r="G23" s="126">
        <f>'10.Grain Production details'!G54</f>
        <v>6652.7999999999993</v>
      </c>
      <c r="H23" s="126">
        <f>'10.Grain Production details'!H54</f>
        <v>7318.079999999999</v>
      </c>
    </row>
    <row r="24" spans="1:8" ht="14.45" hidden="1" x14ac:dyDescent="0.35">
      <c r="A24" s="126">
        <f>'10.Grain Production details'!A55</f>
        <v>0</v>
      </c>
      <c r="B24" s="126">
        <f>'10.Grain Production details'!B55</f>
        <v>0</v>
      </c>
      <c r="C24" s="126">
        <f>'10.Grain Production details'!C55</f>
        <v>0</v>
      </c>
      <c r="D24" s="126">
        <f>'10.Grain Production details'!D55</f>
        <v>0</v>
      </c>
      <c r="E24" s="126">
        <f>'10.Grain Production details'!E55</f>
        <v>0</v>
      </c>
      <c r="F24" s="126">
        <f>'10.Grain Production details'!F55</f>
        <v>0</v>
      </c>
      <c r="G24" s="126">
        <f>'10.Grain Production details'!G55</f>
        <v>0</v>
      </c>
      <c r="H24" s="126">
        <f>'10.Grain Production details'!H55</f>
        <v>0</v>
      </c>
    </row>
    <row r="25" spans="1:8" ht="14.45" hidden="1" x14ac:dyDescent="0.35">
      <c r="A25" s="126">
        <f>'10.Grain Production details'!A56</f>
        <v>0</v>
      </c>
      <c r="B25" s="126">
        <f>'10.Grain Production details'!B56</f>
        <v>0</v>
      </c>
      <c r="C25" s="126">
        <f>'10.Grain Production details'!C56</f>
        <v>0</v>
      </c>
      <c r="D25" s="126">
        <f>'10.Grain Production details'!D56</f>
        <v>0</v>
      </c>
      <c r="E25" s="126">
        <f>'10.Grain Production details'!E56</f>
        <v>0</v>
      </c>
      <c r="F25" s="126">
        <f>'10.Grain Production details'!F56</f>
        <v>0</v>
      </c>
      <c r="G25" s="126">
        <f>'10.Grain Production details'!G56</f>
        <v>0</v>
      </c>
      <c r="H25" s="126">
        <f>'10.Grain Production details'!H56</f>
        <v>0</v>
      </c>
    </row>
    <row r="26" spans="1:8" ht="14.45" hidden="1" x14ac:dyDescent="0.35">
      <c r="A26" s="126">
        <f>'10.Grain Production details'!A57</f>
        <v>0</v>
      </c>
      <c r="B26" s="126">
        <f>'10.Grain Production details'!B57</f>
        <v>0</v>
      </c>
      <c r="C26" s="126">
        <f>'10.Grain Production details'!C57</f>
        <v>0</v>
      </c>
      <c r="D26" s="126">
        <f>'10.Grain Production details'!D57</f>
        <v>0</v>
      </c>
      <c r="E26" s="126">
        <f>'10.Grain Production details'!E57</f>
        <v>0</v>
      </c>
      <c r="F26" s="126">
        <f>'10.Grain Production details'!F57</f>
        <v>0</v>
      </c>
      <c r="G26" s="126">
        <f>'10.Grain Production details'!G57</f>
        <v>0</v>
      </c>
      <c r="H26" s="126">
        <f>'10.Grain Production details'!H57</f>
        <v>0</v>
      </c>
    </row>
    <row r="27" spans="1:8" ht="14.45" hidden="1" x14ac:dyDescent="0.35">
      <c r="A27" s="126">
        <f>'10.Grain Production details'!A58</f>
        <v>0</v>
      </c>
      <c r="B27" s="126">
        <f>'10.Grain Production details'!B58</f>
        <v>0</v>
      </c>
      <c r="C27" s="126">
        <f>'10.Grain Production details'!C58</f>
        <v>0</v>
      </c>
      <c r="D27" s="126">
        <f>'10.Grain Production details'!D58</f>
        <v>0</v>
      </c>
      <c r="E27" s="126">
        <f>'10.Grain Production details'!E58</f>
        <v>0</v>
      </c>
      <c r="F27" s="126">
        <f>'10.Grain Production details'!F58</f>
        <v>0</v>
      </c>
      <c r="G27" s="126">
        <f>'10.Grain Production details'!G58</f>
        <v>0</v>
      </c>
      <c r="H27" s="126">
        <f>'10.Grain Production details'!H58</f>
        <v>0</v>
      </c>
    </row>
    <row r="28" spans="1:8" ht="14.45" hidden="1" x14ac:dyDescent="0.35">
      <c r="A28" s="126">
        <f>'10.Grain Production details'!A59</f>
        <v>0</v>
      </c>
      <c r="B28" s="126">
        <f>'10.Grain Production details'!B59</f>
        <v>0</v>
      </c>
      <c r="C28" s="126">
        <f>'10.Grain Production details'!C59</f>
        <v>0</v>
      </c>
      <c r="D28" s="126">
        <f>'10.Grain Production details'!D59</f>
        <v>0</v>
      </c>
      <c r="E28" s="126">
        <f>'10.Grain Production details'!E59</f>
        <v>0</v>
      </c>
      <c r="F28" s="126">
        <f>'10.Grain Production details'!F59</f>
        <v>0</v>
      </c>
      <c r="G28" s="126">
        <f>'10.Grain Production details'!G59</f>
        <v>0</v>
      </c>
      <c r="H28" s="126">
        <f>'10.Grain Production details'!H59</f>
        <v>0</v>
      </c>
    </row>
    <row r="29" spans="1:8" ht="14.45" hidden="1" x14ac:dyDescent="0.35">
      <c r="A29" s="126">
        <f>'10.Grain Production details'!A60</f>
        <v>0</v>
      </c>
      <c r="B29" s="126">
        <f>'10.Grain Production details'!B60</f>
        <v>0</v>
      </c>
      <c r="C29" s="126">
        <f>'10.Grain Production details'!C60</f>
        <v>0</v>
      </c>
      <c r="D29" s="126">
        <f>'10.Grain Production details'!D60</f>
        <v>0</v>
      </c>
      <c r="E29" s="126">
        <f>'10.Grain Production details'!E60</f>
        <v>0</v>
      </c>
      <c r="F29" s="126">
        <f>'10.Grain Production details'!F60</f>
        <v>0</v>
      </c>
      <c r="G29" s="126">
        <f>'10.Grain Production details'!G60</f>
        <v>0</v>
      </c>
      <c r="H29" s="126">
        <f>'10.Grain Production details'!H60</f>
        <v>0</v>
      </c>
    </row>
    <row r="30" spans="1:8" ht="14.45" hidden="1" x14ac:dyDescent="0.35">
      <c r="A30" s="126">
        <f>'10.Grain Production details'!A61</f>
        <v>0</v>
      </c>
      <c r="B30" s="126">
        <f>'10.Grain Production details'!B61</f>
        <v>0</v>
      </c>
      <c r="C30" s="126">
        <f>'10.Grain Production details'!C61</f>
        <v>0</v>
      </c>
      <c r="D30" s="126">
        <f>'10.Grain Production details'!D61</f>
        <v>0</v>
      </c>
      <c r="E30" s="126">
        <f>'10.Grain Production details'!E61</f>
        <v>0</v>
      </c>
      <c r="F30" s="126">
        <f>'10.Grain Production details'!F61</f>
        <v>0</v>
      </c>
      <c r="G30" s="126">
        <f>'10.Grain Production details'!G61</f>
        <v>0</v>
      </c>
      <c r="H30" s="126">
        <f>'10.Grain Production details'!H61</f>
        <v>0</v>
      </c>
    </row>
    <row r="31" spans="1:8" ht="14.45" hidden="1" x14ac:dyDescent="0.35">
      <c r="A31" s="126">
        <f>'10.Grain Production details'!A62</f>
        <v>0</v>
      </c>
      <c r="B31" s="126">
        <f>'10.Grain Production details'!B62</f>
        <v>0</v>
      </c>
      <c r="C31" s="126">
        <f>'10.Grain Production details'!C62</f>
        <v>0</v>
      </c>
      <c r="D31" s="126">
        <f>'10.Grain Production details'!D62</f>
        <v>0</v>
      </c>
      <c r="E31" s="126">
        <f>'10.Grain Production details'!E62</f>
        <v>0</v>
      </c>
      <c r="F31" s="126">
        <f>'10.Grain Production details'!F62</f>
        <v>0</v>
      </c>
      <c r="G31" s="126">
        <f>'10.Grain Production details'!G62</f>
        <v>0</v>
      </c>
      <c r="H31" s="126">
        <f>'10.Grain Production details'!H62</f>
        <v>0</v>
      </c>
    </row>
    <row r="32" spans="1:8" ht="14.45" hidden="1" x14ac:dyDescent="0.35">
      <c r="A32" s="126">
        <f>'10.Grain Production details'!B63</f>
        <v>0</v>
      </c>
      <c r="B32" s="126">
        <f>'10.Grain Production details'!C63</f>
        <v>0</v>
      </c>
      <c r="C32" s="126">
        <f>'10.Grain Production details'!D63</f>
        <v>0</v>
      </c>
      <c r="D32" s="126">
        <f>'10.Grain Production details'!E63</f>
        <v>0</v>
      </c>
      <c r="E32" s="126">
        <f>'10.Grain Production details'!F63</f>
        <v>0</v>
      </c>
      <c r="F32" s="126">
        <f>'10.Grain Production details'!G63</f>
        <v>0</v>
      </c>
      <c r="G32" s="126">
        <f>'10.Grain Production details'!H63</f>
        <v>0</v>
      </c>
      <c r="H32" s="126">
        <f>'10.Grain Production details'!I63</f>
        <v>0</v>
      </c>
    </row>
    <row r="33" spans="1:8" ht="14.45" x14ac:dyDescent="0.35">
      <c r="A33" s="78" t="s">
        <v>482</v>
      </c>
      <c r="B33" s="126">
        <f t="shared" ref="B33:H33" si="1">SUM(B11:B32)</f>
        <v>19065.34</v>
      </c>
      <c r="C33" s="126">
        <f t="shared" si="1"/>
        <v>22878.407999999999</v>
      </c>
      <c r="D33" s="126">
        <f t="shared" si="1"/>
        <v>26691.475999999995</v>
      </c>
      <c r="E33" s="126">
        <f t="shared" si="1"/>
        <v>30504.543999999994</v>
      </c>
      <c r="F33" s="126">
        <f t="shared" si="1"/>
        <v>34317.611999999994</v>
      </c>
      <c r="G33" s="126">
        <f t="shared" si="1"/>
        <v>38130.679999999993</v>
      </c>
      <c r="H33" s="126">
        <f t="shared" si="1"/>
        <v>41943.748</v>
      </c>
    </row>
    <row r="34" spans="1:8" ht="14.45" hidden="1" x14ac:dyDescent="0.35">
      <c r="A34" s="126" t="str">
        <f>'11.F&amp;V Crop Production details'!A1:H1</f>
        <v>Fruit  &amp; Vegetables Crop Production Details</v>
      </c>
      <c r="B34" s="126"/>
      <c r="C34" s="126"/>
      <c r="D34" s="126"/>
      <c r="E34" s="126"/>
      <c r="F34" s="126"/>
      <c r="G34" s="126"/>
      <c r="H34" s="126"/>
    </row>
    <row r="35" spans="1:8" ht="14.45" hidden="1" x14ac:dyDescent="0.35">
      <c r="A35" s="126" t="str">
        <f>'11.F&amp;V Crop Production details'!A46</f>
        <v>Onion</v>
      </c>
      <c r="B35" s="126">
        <f>'11.F&amp;V Crop Production details'!B46</f>
        <v>0</v>
      </c>
      <c r="C35" s="126">
        <f>'11.F&amp;V Crop Production details'!C46</f>
        <v>0</v>
      </c>
      <c r="D35" s="126">
        <f>'11.F&amp;V Crop Production details'!D46</f>
        <v>0</v>
      </c>
      <c r="E35" s="126">
        <f>'11.F&amp;V Crop Production details'!E46</f>
        <v>0</v>
      </c>
      <c r="F35" s="126">
        <f>'11.F&amp;V Crop Production details'!F46</f>
        <v>0</v>
      </c>
      <c r="G35" s="126">
        <f>'11.F&amp;V Crop Production details'!G46</f>
        <v>0</v>
      </c>
      <c r="H35" s="126">
        <f>'11.F&amp;V Crop Production details'!H46</f>
        <v>0</v>
      </c>
    </row>
    <row r="36" spans="1:8" ht="14.45" hidden="1" x14ac:dyDescent="0.35">
      <c r="A36" s="126" t="str">
        <f>'11.F&amp;V Crop Production details'!A47</f>
        <v>Tomato</v>
      </c>
      <c r="B36" s="126">
        <f>'11.F&amp;V Crop Production details'!B47</f>
        <v>0</v>
      </c>
      <c r="C36" s="126">
        <f>'11.F&amp;V Crop Production details'!C47</f>
        <v>0</v>
      </c>
      <c r="D36" s="126">
        <f>'11.F&amp;V Crop Production details'!D47</f>
        <v>0</v>
      </c>
      <c r="E36" s="126">
        <f>'11.F&amp;V Crop Production details'!E47</f>
        <v>0</v>
      </c>
      <c r="F36" s="126">
        <f>'11.F&amp;V Crop Production details'!F47</f>
        <v>0</v>
      </c>
      <c r="G36" s="126">
        <f>'11.F&amp;V Crop Production details'!G47</f>
        <v>0</v>
      </c>
      <c r="H36" s="126">
        <f>'11.F&amp;V Crop Production details'!H47</f>
        <v>0</v>
      </c>
    </row>
    <row r="37" spans="1:8" ht="14.45" hidden="1" x14ac:dyDescent="0.35">
      <c r="A37" s="126" t="str">
        <f>'11.F&amp;V Crop Production details'!A48</f>
        <v>Okra</v>
      </c>
      <c r="B37" s="126">
        <f>'11.F&amp;V Crop Production details'!B48</f>
        <v>0</v>
      </c>
      <c r="C37" s="126">
        <f>'11.F&amp;V Crop Production details'!C48</f>
        <v>0</v>
      </c>
      <c r="D37" s="126">
        <f>'11.F&amp;V Crop Production details'!D48</f>
        <v>0</v>
      </c>
      <c r="E37" s="126">
        <f>'11.F&amp;V Crop Production details'!E48</f>
        <v>0</v>
      </c>
      <c r="F37" s="126">
        <f>'11.F&amp;V Crop Production details'!F48</f>
        <v>0</v>
      </c>
      <c r="G37" s="126">
        <f>'11.F&amp;V Crop Production details'!G48</f>
        <v>0</v>
      </c>
      <c r="H37" s="126">
        <f>'11.F&amp;V Crop Production details'!H48</f>
        <v>0</v>
      </c>
    </row>
    <row r="38" spans="1:8" ht="14.45" hidden="1" x14ac:dyDescent="0.35">
      <c r="A38" s="126" t="str">
        <f>'11.F&amp;V Crop Production details'!A49</f>
        <v>Chilli</v>
      </c>
      <c r="B38" s="126">
        <f>'11.F&amp;V Crop Production details'!B49</f>
        <v>0</v>
      </c>
      <c r="C38" s="126">
        <f>'11.F&amp;V Crop Production details'!C49</f>
        <v>0</v>
      </c>
      <c r="D38" s="126">
        <f>'11.F&amp;V Crop Production details'!D49</f>
        <v>0</v>
      </c>
      <c r="E38" s="126">
        <f>'11.F&amp;V Crop Production details'!E49</f>
        <v>0</v>
      </c>
      <c r="F38" s="126">
        <f>'11.F&amp;V Crop Production details'!F49</f>
        <v>0</v>
      </c>
      <c r="G38" s="126">
        <f>'11.F&amp;V Crop Production details'!G49</f>
        <v>0</v>
      </c>
      <c r="H38" s="126">
        <f>'11.F&amp;V Crop Production details'!H49</f>
        <v>0</v>
      </c>
    </row>
    <row r="39" spans="1:8" ht="14.45" hidden="1" x14ac:dyDescent="0.35">
      <c r="A39" s="126" t="str">
        <f>'11.F&amp;V Crop Production details'!A50</f>
        <v>Potato</v>
      </c>
      <c r="B39" s="126">
        <f>'11.F&amp;V Crop Production details'!B50</f>
        <v>0</v>
      </c>
      <c r="C39" s="126">
        <f>'11.F&amp;V Crop Production details'!C50</f>
        <v>0</v>
      </c>
      <c r="D39" s="126">
        <f>'11.F&amp;V Crop Production details'!D50</f>
        <v>0</v>
      </c>
      <c r="E39" s="126">
        <f>'11.F&amp;V Crop Production details'!E50</f>
        <v>0</v>
      </c>
      <c r="F39" s="126">
        <f>'11.F&amp;V Crop Production details'!F50</f>
        <v>0</v>
      </c>
      <c r="G39" s="126">
        <f>'11.F&amp;V Crop Production details'!G50</f>
        <v>0</v>
      </c>
      <c r="H39" s="126">
        <f>'11.F&amp;V Crop Production details'!H50</f>
        <v>0</v>
      </c>
    </row>
    <row r="40" spans="1:8" ht="14.45" hidden="1" x14ac:dyDescent="0.35">
      <c r="A40" s="126">
        <f>'11.F&amp;V Crop Production details'!A51</f>
        <v>0</v>
      </c>
      <c r="B40" s="126">
        <f>'11.F&amp;V Crop Production details'!B51</f>
        <v>0</v>
      </c>
      <c r="C40" s="126">
        <f>'11.F&amp;V Crop Production details'!C51</f>
        <v>0</v>
      </c>
      <c r="D40" s="126">
        <f>'11.F&amp;V Crop Production details'!D51</f>
        <v>0</v>
      </c>
      <c r="E40" s="126">
        <f>'11.F&amp;V Crop Production details'!E51</f>
        <v>0</v>
      </c>
      <c r="F40" s="126">
        <f>'11.F&amp;V Crop Production details'!F51</f>
        <v>0</v>
      </c>
      <c r="G40" s="126">
        <f>'11.F&amp;V Crop Production details'!G51</f>
        <v>0</v>
      </c>
      <c r="H40" s="126">
        <f>'11.F&amp;V Crop Production details'!H51</f>
        <v>0</v>
      </c>
    </row>
    <row r="41" spans="1:8" ht="14.45" hidden="1" x14ac:dyDescent="0.35">
      <c r="A41" s="126">
        <f>'11.F&amp;V Crop Production details'!A52</f>
        <v>0</v>
      </c>
      <c r="B41" s="126">
        <f>'11.F&amp;V Crop Production details'!B52</f>
        <v>0</v>
      </c>
      <c r="C41" s="126">
        <f>'11.F&amp;V Crop Production details'!C52</f>
        <v>0</v>
      </c>
      <c r="D41" s="126">
        <f>'11.F&amp;V Crop Production details'!D52</f>
        <v>0</v>
      </c>
      <c r="E41" s="126">
        <f>'11.F&amp;V Crop Production details'!E52</f>
        <v>0</v>
      </c>
      <c r="F41" s="126">
        <f>'11.F&amp;V Crop Production details'!F52</f>
        <v>0</v>
      </c>
      <c r="G41" s="126">
        <f>'11.F&amp;V Crop Production details'!G52</f>
        <v>0</v>
      </c>
      <c r="H41" s="126">
        <f>'11.F&amp;V Crop Production details'!H52</f>
        <v>0</v>
      </c>
    </row>
    <row r="42" spans="1:8" ht="14.45" hidden="1" x14ac:dyDescent="0.35">
      <c r="A42" s="126">
        <f>'11.F&amp;V Crop Production details'!A53</f>
        <v>0</v>
      </c>
      <c r="B42" s="126">
        <f>'11.F&amp;V Crop Production details'!B53</f>
        <v>0</v>
      </c>
      <c r="C42" s="126">
        <f>'11.F&amp;V Crop Production details'!C53</f>
        <v>0</v>
      </c>
      <c r="D42" s="126">
        <f>'11.F&amp;V Crop Production details'!D53</f>
        <v>0</v>
      </c>
      <c r="E42" s="126">
        <f>'11.F&amp;V Crop Production details'!E53</f>
        <v>0</v>
      </c>
      <c r="F42" s="126">
        <f>'11.F&amp;V Crop Production details'!F53</f>
        <v>0</v>
      </c>
      <c r="G42" s="126">
        <f>'11.F&amp;V Crop Production details'!G53</f>
        <v>0</v>
      </c>
      <c r="H42" s="126">
        <f>'11.F&amp;V Crop Production details'!H53</f>
        <v>0</v>
      </c>
    </row>
    <row r="43" spans="1:8" ht="14.45" hidden="1" x14ac:dyDescent="0.35">
      <c r="A43" s="126">
        <f>'11.F&amp;V Crop Production details'!A54</f>
        <v>0</v>
      </c>
      <c r="B43" s="126">
        <f>'11.F&amp;V Crop Production details'!B54</f>
        <v>0</v>
      </c>
      <c r="C43" s="126">
        <f>'11.F&amp;V Crop Production details'!C54</f>
        <v>0</v>
      </c>
      <c r="D43" s="126">
        <f>'11.F&amp;V Crop Production details'!D54</f>
        <v>0</v>
      </c>
      <c r="E43" s="126">
        <f>'11.F&amp;V Crop Production details'!E54</f>
        <v>0</v>
      </c>
      <c r="F43" s="126">
        <f>'11.F&amp;V Crop Production details'!F54</f>
        <v>0</v>
      </c>
      <c r="G43" s="126">
        <f>'11.F&amp;V Crop Production details'!G54</f>
        <v>0</v>
      </c>
      <c r="H43" s="126">
        <f>'11.F&amp;V Crop Production details'!H54</f>
        <v>0</v>
      </c>
    </row>
    <row r="44" spans="1:8" ht="14.45" hidden="1" x14ac:dyDescent="0.35">
      <c r="A44" s="126" t="str">
        <f>'11.F&amp;V Crop Production details'!A55</f>
        <v>Onion</v>
      </c>
      <c r="B44" s="126">
        <f>'11.F&amp;V Crop Production details'!B55</f>
        <v>0</v>
      </c>
      <c r="C44" s="126">
        <f>'11.F&amp;V Crop Production details'!C55</f>
        <v>0</v>
      </c>
      <c r="D44" s="126">
        <f>'11.F&amp;V Crop Production details'!D55</f>
        <v>0</v>
      </c>
      <c r="E44" s="126">
        <f>'11.F&amp;V Crop Production details'!E55</f>
        <v>0</v>
      </c>
      <c r="F44" s="126">
        <f>'11.F&amp;V Crop Production details'!F55</f>
        <v>0</v>
      </c>
      <c r="G44" s="126">
        <f>'11.F&amp;V Crop Production details'!G55</f>
        <v>0</v>
      </c>
      <c r="H44" s="126">
        <f>'11.F&amp;V Crop Production details'!H55</f>
        <v>0</v>
      </c>
    </row>
    <row r="45" spans="1:8" ht="14.45" hidden="1" x14ac:dyDescent="0.35">
      <c r="A45" s="126" t="str">
        <f>'11.F&amp;V Crop Production details'!A56</f>
        <v>Tomato</v>
      </c>
      <c r="B45" s="126">
        <f>'11.F&amp;V Crop Production details'!B56</f>
        <v>0</v>
      </c>
      <c r="C45" s="126">
        <f>'11.F&amp;V Crop Production details'!C56</f>
        <v>0</v>
      </c>
      <c r="D45" s="126">
        <f>'11.F&amp;V Crop Production details'!D56</f>
        <v>0</v>
      </c>
      <c r="E45" s="126">
        <f>'11.F&amp;V Crop Production details'!E56</f>
        <v>0</v>
      </c>
      <c r="F45" s="126">
        <f>'11.F&amp;V Crop Production details'!F56</f>
        <v>0</v>
      </c>
      <c r="G45" s="126">
        <f>'11.F&amp;V Crop Production details'!G56</f>
        <v>0</v>
      </c>
      <c r="H45" s="126">
        <f>'11.F&amp;V Crop Production details'!H56</f>
        <v>0</v>
      </c>
    </row>
    <row r="46" spans="1:8" ht="14.45" hidden="1" x14ac:dyDescent="0.35">
      <c r="A46" s="126" t="str">
        <f>'11.F&amp;V Crop Production details'!A57</f>
        <v>Okra</v>
      </c>
      <c r="B46" s="126">
        <f>'11.F&amp;V Crop Production details'!B57</f>
        <v>0</v>
      </c>
      <c r="C46" s="126">
        <f>'11.F&amp;V Crop Production details'!C57</f>
        <v>0</v>
      </c>
      <c r="D46" s="126">
        <f>'11.F&amp;V Crop Production details'!D57</f>
        <v>0</v>
      </c>
      <c r="E46" s="126">
        <f>'11.F&amp;V Crop Production details'!E57</f>
        <v>0</v>
      </c>
      <c r="F46" s="126">
        <f>'11.F&amp;V Crop Production details'!F57</f>
        <v>0</v>
      </c>
      <c r="G46" s="126">
        <f>'11.F&amp;V Crop Production details'!G57</f>
        <v>0</v>
      </c>
      <c r="H46" s="126">
        <f>'11.F&amp;V Crop Production details'!H57</f>
        <v>0</v>
      </c>
    </row>
    <row r="47" spans="1:8" ht="14.45" hidden="1" x14ac:dyDescent="0.35">
      <c r="A47" s="126" t="str">
        <f>'11.F&amp;V Crop Production details'!A58</f>
        <v>Chilli</v>
      </c>
      <c r="B47" s="126">
        <f>'11.F&amp;V Crop Production details'!B58</f>
        <v>0</v>
      </c>
      <c r="C47" s="126">
        <f>'11.F&amp;V Crop Production details'!C58</f>
        <v>0</v>
      </c>
      <c r="D47" s="126">
        <f>'11.F&amp;V Crop Production details'!D58</f>
        <v>0</v>
      </c>
      <c r="E47" s="126">
        <f>'11.F&amp;V Crop Production details'!E58</f>
        <v>0</v>
      </c>
      <c r="F47" s="126">
        <f>'11.F&amp;V Crop Production details'!F58</f>
        <v>0</v>
      </c>
      <c r="G47" s="126">
        <f>'11.F&amp;V Crop Production details'!G58</f>
        <v>0</v>
      </c>
      <c r="H47" s="126">
        <f>'11.F&amp;V Crop Production details'!H58</f>
        <v>0</v>
      </c>
    </row>
    <row r="48" spans="1:8" ht="14.45" hidden="1" x14ac:dyDescent="0.35">
      <c r="A48" s="126" t="str">
        <f>'11.F&amp;V Crop Production details'!A59</f>
        <v>Brinjal</v>
      </c>
      <c r="B48" s="126">
        <f>'11.F&amp;V Crop Production details'!B59</f>
        <v>0</v>
      </c>
      <c r="C48" s="126">
        <f>'11.F&amp;V Crop Production details'!C59</f>
        <v>0</v>
      </c>
      <c r="D48" s="126">
        <f>'11.F&amp;V Crop Production details'!D59</f>
        <v>0</v>
      </c>
      <c r="E48" s="126">
        <f>'11.F&amp;V Crop Production details'!E59</f>
        <v>0</v>
      </c>
      <c r="F48" s="126">
        <f>'11.F&amp;V Crop Production details'!F59</f>
        <v>0</v>
      </c>
      <c r="G48" s="126">
        <f>'11.F&amp;V Crop Production details'!G59</f>
        <v>0</v>
      </c>
      <c r="H48" s="126">
        <f>'11.F&amp;V Crop Production details'!H59</f>
        <v>0</v>
      </c>
    </row>
    <row r="49" spans="1:10" ht="14.45" hidden="1" x14ac:dyDescent="0.35">
      <c r="A49" s="126">
        <f>'11.F&amp;V Crop Production details'!A60</f>
        <v>0</v>
      </c>
      <c r="B49" s="126">
        <f>'11.F&amp;V Crop Production details'!B60</f>
        <v>0</v>
      </c>
      <c r="C49" s="126">
        <f>'11.F&amp;V Crop Production details'!C60</f>
        <v>0</v>
      </c>
      <c r="D49" s="126">
        <f>'11.F&amp;V Crop Production details'!D60</f>
        <v>0</v>
      </c>
      <c r="E49" s="126">
        <f>'11.F&amp;V Crop Production details'!E60</f>
        <v>0</v>
      </c>
      <c r="F49" s="126">
        <f>'11.F&amp;V Crop Production details'!F60</f>
        <v>0</v>
      </c>
      <c r="G49" s="126">
        <f>'11.F&amp;V Crop Production details'!G60</f>
        <v>0</v>
      </c>
      <c r="H49" s="126">
        <f>'11.F&amp;V Crop Production details'!H60</f>
        <v>0</v>
      </c>
    </row>
    <row r="50" spans="1:10" ht="14.45" hidden="1" x14ac:dyDescent="0.35">
      <c r="A50" s="126">
        <f>'11.F&amp;V Crop Production details'!A61</f>
        <v>0</v>
      </c>
      <c r="B50" s="126">
        <f>'11.F&amp;V Crop Production details'!B61</f>
        <v>0</v>
      </c>
      <c r="C50" s="126">
        <f>'11.F&amp;V Crop Production details'!C61</f>
        <v>0</v>
      </c>
      <c r="D50" s="126">
        <f>'11.F&amp;V Crop Production details'!D61</f>
        <v>0</v>
      </c>
      <c r="E50" s="126">
        <f>'11.F&amp;V Crop Production details'!E61</f>
        <v>0</v>
      </c>
      <c r="F50" s="126">
        <f>'11.F&amp;V Crop Production details'!F61</f>
        <v>0</v>
      </c>
      <c r="G50" s="126">
        <f>'11.F&amp;V Crop Production details'!G61</f>
        <v>0</v>
      </c>
      <c r="H50" s="126">
        <f>'11.F&amp;V Crop Production details'!H61</f>
        <v>0</v>
      </c>
    </row>
    <row r="51" spans="1:10" ht="14.45" hidden="1" x14ac:dyDescent="0.35">
      <c r="A51" s="126">
        <f>'11.F&amp;V Crop Production details'!A62</f>
        <v>0</v>
      </c>
      <c r="B51" s="126">
        <f>'11.F&amp;V Crop Production details'!B62</f>
        <v>0</v>
      </c>
      <c r="C51" s="126">
        <f>'11.F&amp;V Crop Production details'!C62</f>
        <v>0</v>
      </c>
      <c r="D51" s="126">
        <f>'11.F&amp;V Crop Production details'!D62</f>
        <v>0</v>
      </c>
      <c r="E51" s="126">
        <f>'11.F&amp;V Crop Production details'!E62</f>
        <v>0</v>
      </c>
      <c r="F51" s="126">
        <f>'11.F&amp;V Crop Production details'!F62</f>
        <v>0</v>
      </c>
      <c r="G51" s="126">
        <f>'11.F&amp;V Crop Production details'!G62</f>
        <v>0</v>
      </c>
      <c r="H51" s="126">
        <f>'11.F&amp;V Crop Production details'!H62</f>
        <v>0</v>
      </c>
    </row>
    <row r="52" spans="1:10" ht="14.45" hidden="1" x14ac:dyDescent="0.35">
      <c r="A52" s="126">
        <f>'11.F&amp;V Crop Production details'!A63</f>
        <v>0</v>
      </c>
      <c r="B52" s="126">
        <f>'11.F&amp;V Crop Production details'!B63</f>
        <v>0</v>
      </c>
      <c r="C52" s="126">
        <f>'11.F&amp;V Crop Production details'!C63</f>
        <v>0</v>
      </c>
      <c r="D52" s="126">
        <f>'11.F&amp;V Crop Production details'!D63</f>
        <v>0</v>
      </c>
      <c r="E52" s="126">
        <f>'11.F&amp;V Crop Production details'!E63</f>
        <v>0</v>
      </c>
      <c r="F52" s="126">
        <f>'11.F&amp;V Crop Production details'!F63</f>
        <v>0</v>
      </c>
      <c r="G52" s="126">
        <f>'11.F&amp;V Crop Production details'!G63</f>
        <v>0</v>
      </c>
      <c r="H52" s="126">
        <f>'11.F&amp;V Crop Production details'!H63</f>
        <v>0</v>
      </c>
    </row>
    <row r="53" spans="1:10" ht="14.45" hidden="1" x14ac:dyDescent="0.35">
      <c r="A53" s="126">
        <f>'11.F&amp;V Crop Production details'!A64</f>
        <v>0</v>
      </c>
      <c r="B53" s="126"/>
      <c r="C53" s="126"/>
      <c r="D53" s="126"/>
      <c r="E53" s="126"/>
      <c r="F53" s="126"/>
      <c r="G53" s="126"/>
      <c r="H53" s="126"/>
    </row>
    <row r="54" spans="1:10" ht="14.45" hidden="1" x14ac:dyDescent="0.35">
      <c r="A54" s="126">
        <f>'11.F&amp;V Crop Production details'!A65</f>
        <v>0</v>
      </c>
      <c r="B54" s="126"/>
      <c r="C54" s="126"/>
      <c r="D54" s="126"/>
      <c r="E54" s="126"/>
      <c r="F54" s="126"/>
      <c r="G54" s="126"/>
      <c r="H54" s="126"/>
    </row>
    <row r="55" spans="1:10" ht="14.45" hidden="1" x14ac:dyDescent="0.35">
      <c r="A55" s="126">
        <f>'11.F&amp;V Crop Production details'!A66</f>
        <v>0</v>
      </c>
      <c r="B55" s="126"/>
      <c r="C55" s="126"/>
      <c r="D55" s="126"/>
      <c r="E55" s="126"/>
      <c r="F55" s="126"/>
      <c r="G55" s="126"/>
      <c r="H55" s="126"/>
    </row>
    <row r="56" spans="1:10" ht="14.45" hidden="1" x14ac:dyDescent="0.35">
      <c r="A56" s="126" t="str">
        <f>'11.F&amp;V Crop Production details'!A67</f>
        <v>Pomegranate</v>
      </c>
      <c r="B56" s="126">
        <f>'11.F&amp;V Crop Production details'!B67</f>
        <v>0</v>
      </c>
      <c r="C56" s="126">
        <f>'11.F&amp;V Crop Production details'!C67</f>
        <v>0</v>
      </c>
      <c r="D56" s="126">
        <f>'11.F&amp;V Crop Production details'!D67</f>
        <v>0</v>
      </c>
      <c r="E56" s="126">
        <f>'11.F&amp;V Crop Production details'!E67</f>
        <v>0</v>
      </c>
      <c r="F56" s="126">
        <f>'11.F&amp;V Crop Production details'!F67</f>
        <v>0</v>
      </c>
      <c r="G56" s="126">
        <f>'11.F&amp;V Crop Production details'!G67</f>
        <v>0</v>
      </c>
      <c r="H56" s="126">
        <f>'11.F&amp;V Crop Production details'!H67</f>
        <v>0</v>
      </c>
    </row>
    <row r="57" spans="1:10" ht="14.45" hidden="1" x14ac:dyDescent="0.35">
      <c r="A57" s="126" t="str">
        <f>'11.F&amp;V Crop Production details'!A68</f>
        <v>Custard Apple</v>
      </c>
      <c r="B57" s="126">
        <f>'11.F&amp;V Crop Production details'!B68</f>
        <v>0</v>
      </c>
      <c r="C57" s="126">
        <f>'11.F&amp;V Crop Production details'!C68</f>
        <v>0</v>
      </c>
      <c r="D57" s="126">
        <f>'11.F&amp;V Crop Production details'!D68</f>
        <v>0</v>
      </c>
      <c r="E57" s="126">
        <f>'11.F&amp;V Crop Production details'!E68</f>
        <v>0</v>
      </c>
      <c r="F57" s="126">
        <f>'11.F&amp;V Crop Production details'!F68</f>
        <v>0</v>
      </c>
      <c r="G57" s="126">
        <f>'11.F&amp;V Crop Production details'!G68</f>
        <v>0</v>
      </c>
      <c r="H57" s="126">
        <f>'11.F&amp;V Crop Production details'!H68</f>
        <v>0</v>
      </c>
    </row>
    <row r="58" spans="1:10" ht="14.45" hidden="1" x14ac:dyDescent="0.35">
      <c r="A58" s="126" t="str">
        <f>'11.F&amp;V Crop Production details'!A69</f>
        <v>Guava</v>
      </c>
      <c r="B58" s="126">
        <f>'11.F&amp;V Crop Production details'!B69</f>
        <v>0</v>
      </c>
      <c r="C58" s="126">
        <f>'11.F&amp;V Crop Production details'!C69</f>
        <v>0</v>
      </c>
      <c r="D58" s="126">
        <f>'11.F&amp;V Crop Production details'!D69</f>
        <v>0</v>
      </c>
      <c r="E58" s="126">
        <f>'11.F&amp;V Crop Production details'!E69</f>
        <v>0</v>
      </c>
      <c r="F58" s="126">
        <f>'11.F&amp;V Crop Production details'!F69</f>
        <v>0</v>
      </c>
      <c r="G58" s="126">
        <f>'11.F&amp;V Crop Production details'!G69</f>
        <v>0</v>
      </c>
      <c r="H58" s="126">
        <f>'11.F&amp;V Crop Production details'!H69</f>
        <v>0</v>
      </c>
    </row>
    <row r="59" spans="1:10" ht="14.45" hidden="1" x14ac:dyDescent="0.35">
      <c r="A59" s="126" t="str">
        <f>'11.F&amp;V Crop Production details'!A70</f>
        <v>Citrus</v>
      </c>
      <c r="B59" s="126">
        <f>'11.F&amp;V Crop Production details'!B70</f>
        <v>0</v>
      </c>
      <c r="C59" s="126">
        <f>'11.F&amp;V Crop Production details'!C70</f>
        <v>0</v>
      </c>
      <c r="D59" s="126">
        <f>'11.F&amp;V Crop Production details'!D70</f>
        <v>0</v>
      </c>
      <c r="E59" s="126">
        <f>'11.F&amp;V Crop Production details'!E70</f>
        <v>0</v>
      </c>
      <c r="F59" s="126">
        <f>'11.F&amp;V Crop Production details'!F70</f>
        <v>0</v>
      </c>
      <c r="G59" s="126">
        <f>'11.F&amp;V Crop Production details'!G70</f>
        <v>0</v>
      </c>
      <c r="H59" s="126">
        <f>'11.F&amp;V Crop Production details'!H70</f>
        <v>0</v>
      </c>
    </row>
    <row r="60" spans="1:10" ht="14.45" hidden="1" x14ac:dyDescent="0.35">
      <c r="A60" s="126"/>
      <c r="B60" s="126"/>
      <c r="C60" s="126"/>
      <c r="D60" s="126"/>
      <c r="E60" s="126"/>
      <c r="F60" s="126"/>
      <c r="G60" s="126"/>
      <c r="H60" s="126"/>
    </row>
    <row r="61" spans="1:10" ht="14.45" hidden="1" x14ac:dyDescent="0.35">
      <c r="A61" s="78" t="s">
        <v>481</v>
      </c>
      <c r="B61" s="126">
        <f t="shared" ref="B61:H61" si="2">SUM(B35:B59)</f>
        <v>0</v>
      </c>
      <c r="C61" s="126">
        <f t="shared" si="2"/>
        <v>0</v>
      </c>
      <c r="D61" s="126">
        <f t="shared" si="2"/>
        <v>0</v>
      </c>
      <c r="E61" s="126">
        <f t="shared" si="2"/>
        <v>0</v>
      </c>
      <c r="F61" s="126">
        <f t="shared" si="2"/>
        <v>0</v>
      </c>
      <c r="G61" s="126">
        <f t="shared" si="2"/>
        <v>0</v>
      </c>
      <c r="H61" s="126">
        <f t="shared" si="2"/>
        <v>0</v>
      </c>
    </row>
    <row r="62" spans="1:10" ht="14.45" x14ac:dyDescent="0.35">
      <c r="A62" s="127" t="s">
        <v>483</v>
      </c>
      <c r="B62" s="128">
        <v>0.7</v>
      </c>
      <c r="C62" s="128">
        <f>B62</f>
        <v>0.7</v>
      </c>
      <c r="D62" s="128">
        <f t="shared" ref="D62:H62" si="3">C62</f>
        <v>0.7</v>
      </c>
      <c r="E62" s="128">
        <f t="shared" si="3"/>
        <v>0.7</v>
      </c>
      <c r="F62" s="128">
        <f t="shared" si="3"/>
        <v>0.7</v>
      </c>
      <c r="G62" s="128">
        <f t="shared" si="3"/>
        <v>0.7</v>
      </c>
      <c r="H62" s="128">
        <f t="shared" si="3"/>
        <v>0.7</v>
      </c>
      <c r="I62" s="39">
        <f>'13.Facility 2 Grain Processing'!B32+'17.Facility 6 Cattle Feed'!B28+'16.Facility 5 Atta Chakki'!C63</f>
        <v>12995.352999999999</v>
      </c>
      <c r="J62" s="119">
        <f>B33*B62</f>
        <v>13345.737999999999</v>
      </c>
    </row>
    <row r="63" spans="1:10" ht="14.45" x14ac:dyDescent="0.35">
      <c r="A63" s="127" t="s">
        <v>484</v>
      </c>
      <c r="B63" s="128">
        <f t="shared" ref="B63:H63" si="4">1-B62</f>
        <v>0.30000000000000004</v>
      </c>
      <c r="C63" s="128">
        <f t="shared" si="4"/>
        <v>0.30000000000000004</v>
      </c>
      <c r="D63" s="128">
        <f t="shared" si="4"/>
        <v>0.30000000000000004</v>
      </c>
      <c r="E63" s="128">
        <f t="shared" si="4"/>
        <v>0.30000000000000004</v>
      </c>
      <c r="F63" s="128">
        <f t="shared" si="4"/>
        <v>0.30000000000000004</v>
      </c>
      <c r="G63" s="128">
        <f t="shared" si="4"/>
        <v>0.30000000000000004</v>
      </c>
      <c r="H63" s="128">
        <f t="shared" si="4"/>
        <v>0.30000000000000004</v>
      </c>
    </row>
    <row r="64" spans="1:10" ht="14.45" x14ac:dyDescent="0.35">
      <c r="A64" s="127"/>
      <c r="B64" s="128"/>
      <c r="C64" s="128"/>
      <c r="D64" s="128"/>
      <c r="E64" s="128"/>
      <c r="F64" s="128"/>
      <c r="G64" s="128"/>
      <c r="H64" s="128"/>
    </row>
    <row r="65" spans="1:8" ht="14.45" x14ac:dyDescent="0.35">
      <c r="A65" s="127" t="s">
        <v>705</v>
      </c>
      <c r="B65" s="129">
        <f t="shared" ref="B65:H65" si="5">B33*B62</f>
        <v>13345.737999999999</v>
      </c>
      <c r="C65" s="129">
        <f t="shared" si="5"/>
        <v>16014.885599999998</v>
      </c>
      <c r="D65" s="129">
        <f t="shared" si="5"/>
        <v>18684.033199999994</v>
      </c>
      <c r="E65" s="129">
        <f t="shared" si="5"/>
        <v>21353.180799999995</v>
      </c>
      <c r="F65" s="129">
        <f t="shared" si="5"/>
        <v>24022.328399999995</v>
      </c>
      <c r="G65" s="129">
        <f t="shared" si="5"/>
        <v>26691.475999999995</v>
      </c>
      <c r="H65" s="129">
        <f t="shared" si="5"/>
        <v>29360.623599999999</v>
      </c>
    </row>
    <row r="66" spans="1:8" ht="14.45" x14ac:dyDescent="0.35">
      <c r="A66" s="78"/>
      <c r="B66" s="126"/>
      <c r="C66" s="126"/>
      <c r="D66" s="126"/>
      <c r="E66" s="126"/>
      <c r="F66" s="126"/>
      <c r="G66" s="126"/>
      <c r="H66" s="126"/>
    </row>
    <row r="67" spans="1:8" ht="14.45" x14ac:dyDescent="0.35">
      <c r="A67" s="78" t="s">
        <v>706</v>
      </c>
      <c r="B67" s="126"/>
      <c r="C67" s="126"/>
      <c r="D67" s="126"/>
      <c r="E67" s="126"/>
      <c r="F67" s="126"/>
      <c r="G67" s="126"/>
      <c r="H67" s="126"/>
    </row>
    <row r="68" spans="1:8" ht="14.45" x14ac:dyDescent="0.35">
      <c r="A68" s="47" t="str">
        <f t="shared" ref="A68:A89" si="6">A11</f>
        <v>Maize</v>
      </c>
      <c r="B68" s="82">
        <f t="shared" ref="B68:B89" si="7">B11*$B$63</f>
        <v>1559.2500000000002</v>
      </c>
      <c r="C68" s="82">
        <f t="shared" ref="C68:C83" si="8">C11*$C$63</f>
        <v>1871.1000000000004</v>
      </c>
      <c r="D68" s="82">
        <f t="shared" ref="D68:D83" si="9">D11*$D$63</f>
        <v>2182.9500000000003</v>
      </c>
      <c r="E68" s="82">
        <f t="shared" ref="E68:E83" si="10">E11*$E$63</f>
        <v>2494.8000000000002</v>
      </c>
      <c r="F68" s="82">
        <f t="shared" ref="F68:F83" si="11">F11*$F$63</f>
        <v>2806.65</v>
      </c>
      <c r="G68" s="82">
        <f t="shared" ref="G68:G83" si="12">G11*$G$63</f>
        <v>3118.4999999999995</v>
      </c>
      <c r="H68" s="82">
        <f t="shared" ref="H68:H83" si="13">H11*$H$63</f>
        <v>3430.3499999999995</v>
      </c>
    </row>
    <row r="69" spans="1:8" ht="14.45" x14ac:dyDescent="0.35">
      <c r="A69" s="47" t="str">
        <f t="shared" si="6"/>
        <v>Red Gram/Tur</v>
      </c>
      <c r="B69" s="82">
        <f t="shared" si="7"/>
        <v>831.60000000000014</v>
      </c>
      <c r="C69" s="82">
        <f t="shared" si="8"/>
        <v>997.92000000000019</v>
      </c>
      <c r="D69" s="82">
        <f t="shared" si="9"/>
        <v>1164.24</v>
      </c>
      <c r="E69" s="82">
        <f t="shared" si="10"/>
        <v>1330.5600000000002</v>
      </c>
      <c r="F69" s="82">
        <f t="shared" si="11"/>
        <v>1496.88</v>
      </c>
      <c r="G69" s="82">
        <f t="shared" si="12"/>
        <v>1663.2</v>
      </c>
      <c r="H69" s="82">
        <f t="shared" si="13"/>
        <v>1829.5200000000002</v>
      </c>
    </row>
    <row r="70" spans="1:8" x14ac:dyDescent="0.25">
      <c r="A70" s="47" t="str">
        <f t="shared" si="6"/>
        <v>Bajra</v>
      </c>
      <c r="B70" s="82">
        <f t="shared" si="7"/>
        <v>411.60000000000008</v>
      </c>
      <c r="C70" s="82">
        <f t="shared" si="8"/>
        <v>493.92</v>
      </c>
      <c r="D70" s="82">
        <f t="shared" si="9"/>
        <v>576.24000000000012</v>
      </c>
      <c r="E70" s="82">
        <f t="shared" si="10"/>
        <v>658.56000000000006</v>
      </c>
      <c r="F70" s="82">
        <f t="shared" si="11"/>
        <v>740.88000000000011</v>
      </c>
      <c r="G70" s="82">
        <f t="shared" si="12"/>
        <v>823.19999999999993</v>
      </c>
      <c r="H70" s="82">
        <f t="shared" si="13"/>
        <v>905.52</v>
      </c>
    </row>
    <row r="71" spans="1:8" ht="14.45" hidden="1" x14ac:dyDescent="0.35">
      <c r="A71" s="47">
        <f t="shared" si="6"/>
        <v>0</v>
      </c>
      <c r="B71" s="82">
        <f t="shared" si="7"/>
        <v>0</v>
      </c>
      <c r="C71" s="82">
        <f t="shared" si="8"/>
        <v>0</v>
      </c>
      <c r="D71" s="82">
        <f t="shared" si="9"/>
        <v>0</v>
      </c>
      <c r="E71" s="82">
        <f t="shared" si="10"/>
        <v>0</v>
      </c>
      <c r="F71" s="82">
        <f t="shared" si="11"/>
        <v>0</v>
      </c>
      <c r="G71" s="82">
        <f t="shared" si="12"/>
        <v>0</v>
      </c>
      <c r="H71" s="82">
        <f t="shared" si="13"/>
        <v>0</v>
      </c>
    </row>
    <row r="72" spans="1:8" ht="14.45" hidden="1" x14ac:dyDescent="0.35">
      <c r="A72" s="47">
        <f t="shared" si="6"/>
        <v>0</v>
      </c>
      <c r="B72" s="82">
        <f t="shared" si="7"/>
        <v>0</v>
      </c>
      <c r="C72" s="82">
        <f t="shared" si="8"/>
        <v>0</v>
      </c>
      <c r="D72" s="82">
        <f t="shared" si="9"/>
        <v>0</v>
      </c>
      <c r="E72" s="82">
        <f t="shared" si="10"/>
        <v>0</v>
      </c>
      <c r="F72" s="82">
        <f t="shared" si="11"/>
        <v>0</v>
      </c>
      <c r="G72" s="82">
        <f t="shared" si="12"/>
        <v>0</v>
      </c>
      <c r="H72" s="82">
        <f t="shared" si="13"/>
        <v>0</v>
      </c>
    </row>
    <row r="73" spans="1:8" ht="14.45" hidden="1" x14ac:dyDescent="0.35">
      <c r="A73" s="47">
        <f t="shared" si="6"/>
        <v>0</v>
      </c>
      <c r="B73" s="82">
        <f t="shared" si="7"/>
        <v>0</v>
      </c>
      <c r="C73" s="82">
        <f t="shared" si="8"/>
        <v>0</v>
      </c>
      <c r="D73" s="82">
        <f t="shared" si="9"/>
        <v>0</v>
      </c>
      <c r="E73" s="82">
        <f t="shared" si="10"/>
        <v>0</v>
      </c>
      <c r="F73" s="82">
        <f t="shared" si="11"/>
        <v>0</v>
      </c>
      <c r="G73" s="82">
        <f t="shared" si="12"/>
        <v>0</v>
      </c>
      <c r="H73" s="82">
        <f t="shared" si="13"/>
        <v>0</v>
      </c>
    </row>
    <row r="74" spans="1:8" ht="14.45" hidden="1" x14ac:dyDescent="0.35">
      <c r="A74" s="47">
        <f t="shared" si="6"/>
        <v>0</v>
      </c>
      <c r="B74" s="82">
        <f t="shared" si="7"/>
        <v>0</v>
      </c>
      <c r="C74" s="82">
        <f t="shared" si="8"/>
        <v>0</v>
      </c>
      <c r="D74" s="82">
        <f t="shared" si="9"/>
        <v>0</v>
      </c>
      <c r="E74" s="82">
        <f t="shared" si="10"/>
        <v>0</v>
      </c>
      <c r="F74" s="82">
        <f t="shared" si="11"/>
        <v>0</v>
      </c>
      <c r="G74" s="82">
        <f t="shared" si="12"/>
        <v>0</v>
      </c>
      <c r="H74" s="82">
        <f t="shared" si="13"/>
        <v>0</v>
      </c>
    </row>
    <row r="75" spans="1:8" ht="14.45" hidden="1" x14ac:dyDescent="0.35">
      <c r="A75" s="47">
        <f t="shared" si="6"/>
        <v>0</v>
      </c>
      <c r="B75" s="82">
        <f t="shared" si="7"/>
        <v>0</v>
      </c>
      <c r="C75" s="82">
        <f t="shared" si="8"/>
        <v>0</v>
      </c>
      <c r="D75" s="82">
        <f t="shared" si="9"/>
        <v>0</v>
      </c>
      <c r="E75" s="82">
        <f t="shared" si="10"/>
        <v>0</v>
      </c>
      <c r="F75" s="82">
        <f t="shared" si="11"/>
        <v>0</v>
      </c>
      <c r="G75" s="82">
        <f t="shared" si="12"/>
        <v>0</v>
      </c>
      <c r="H75" s="82">
        <f t="shared" si="13"/>
        <v>0</v>
      </c>
    </row>
    <row r="76" spans="1:8" ht="14.45" hidden="1" x14ac:dyDescent="0.35">
      <c r="A76" s="47">
        <f t="shared" si="6"/>
        <v>0</v>
      </c>
      <c r="B76" s="82">
        <f t="shared" si="7"/>
        <v>0</v>
      </c>
      <c r="C76" s="82">
        <f t="shared" si="8"/>
        <v>0</v>
      </c>
      <c r="D76" s="82">
        <f t="shared" si="9"/>
        <v>0</v>
      </c>
      <c r="E76" s="82">
        <f t="shared" si="10"/>
        <v>0</v>
      </c>
      <c r="F76" s="82">
        <f t="shared" si="11"/>
        <v>0</v>
      </c>
      <c r="G76" s="82">
        <f t="shared" si="12"/>
        <v>0</v>
      </c>
      <c r="H76" s="82">
        <f t="shared" si="13"/>
        <v>0</v>
      </c>
    </row>
    <row r="77" spans="1:8" x14ac:dyDescent="0.25">
      <c r="A77" s="47" t="str">
        <f t="shared" si="6"/>
        <v>Wheat</v>
      </c>
      <c r="B77" s="82">
        <f t="shared" si="7"/>
        <v>493.92000000000007</v>
      </c>
      <c r="C77" s="82">
        <f t="shared" si="8"/>
        <v>592.70400000000006</v>
      </c>
      <c r="D77" s="82">
        <f t="shared" si="9"/>
        <v>691.48800000000017</v>
      </c>
      <c r="E77" s="82">
        <f t="shared" si="10"/>
        <v>790.27200000000005</v>
      </c>
      <c r="F77" s="82">
        <f t="shared" si="11"/>
        <v>889.05600000000015</v>
      </c>
      <c r="G77" s="82">
        <f t="shared" si="12"/>
        <v>987.84</v>
      </c>
      <c r="H77" s="82">
        <f t="shared" si="13"/>
        <v>1086.6240000000003</v>
      </c>
    </row>
    <row r="78" spans="1:8" x14ac:dyDescent="0.25">
      <c r="A78" s="47" t="str">
        <f t="shared" si="6"/>
        <v>Bengal Gram/Channa</v>
      </c>
      <c r="B78" s="82">
        <f t="shared" si="7"/>
        <v>931.39200000000005</v>
      </c>
      <c r="C78" s="82">
        <f t="shared" si="8"/>
        <v>1117.6704000000002</v>
      </c>
      <c r="D78" s="82">
        <f t="shared" si="9"/>
        <v>1303.9487999999999</v>
      </c>
      <c r="E78" s="82">
        <f t="shared" si="10"/>
        <v>1490.2272</v>
      </c>
      <c r="F78" s="82">
        <f t="shared" si="11"/>
        <v>1676.5056</v>
      </c>
      <c r="G78" s="82">
        <f t="shared" si="12"/>
        <v>1862.7839999999999</v>
      </c>
      <c r="H78" s="82">
        <f t="shared" si="13"/>
        <v>2049.0623999999998</v>
      </c>
    </row>
    <row r="79" spans="1:8" x14ac:dyDescent="0.25">
      <c r="A79" s="47" t="str">
        <f t="shared" si="6"/>
        <v>Jawar</v>
      </c>
      <c r="B79" s="82">
        <f t="shared" si="7"/>
        <v>493.92000000000007</v>
      </c>
      <c r="C79" s="82">
        <f t="shared" si="8"/>
        <v>592.70400000000006</v>
      </c>
      <c r="D79" s="82">
        <f t="shared" si="9"/>
        <v>691.48800000000017</v>
      </c>
      <c r="E79" s="82">
        <f t="shared" si="10"/>
        <v>790.27200000000005</v>
      </c>
      <c r="F79" s="82">
        <f t="shared" si="11"/>
        <v>889.05600000000015</v>
      </c>
      <c r="G79" s="82">
        <f t="shared" si="12"/>
        <v>987.84</v>
      </c>
      <c r="H79" s="82">
        <f t="shared" si="13"/>
        <v>1086.6240000000003</v>
      </c>
    </row>
    <row r="80" spans="1:8" x14ac:dyDescent="0.25">
      <c r="A80" s="47" t="str">
        <f t="shared" si="6"/>
        <v>Maize</v>
      </c>
      <c r="B80" s="82">
        <f t="shared" si="7"/>
        <v>997.92000000000019</v>
      </c>
      <c r="C80" s="82">
        <f t="shared" si="8"/>
        <v>1197.5040000000001</v>
      </c>
      <c r="D80" s="82">
        <f t="shared" si="9"/>
        <v>1397.0880000000002</v>
      </c>
      <c r="E80" s="82">
        <f t="shared" si="10"/>
        <v>1596.6720000000003</v>
      </c>
      <c r="F80" s="82">
        <f t="shared" si="11"/>
        <v>1796.2560000000001</v>
      </c>
      <c r="G80" s="82">
        <f t="shared" si="12"/>
        <v>1995.8400000000001</v>
      </c>
      <c r="H80" s="82">
        <f t="shared" si="13"/>
        <v>2195.424</v>
      </c>
    </row>
    <row r="81" spans="1:12" ht="14.45" hidden="1" x14ac:dyDescent="0.35">
      <c r="A81" s="47">
        <f t="shared" si="6"/>
        <v>0</v>
      </c>
      <c r="B81" s="82">
        <f t="shared" si="7"/>
        <v>0</v>
      </c>
      <c r="C81" s="82">
        <f t="shared" si="8"/>
        <v>0</v>
      </c>
      <c r="D81" s="82">
        <f t="shared" si="9"/>
        <v>0</v>
      </c>
      <c r="E81" s="82">
        <f t="shared" si="10"/>
        <v>0</v>
      </c>
      <c r="F81" s="82">
        <f t="shared" si="11"/>
        <v>0</v>
      </c>
      <c r="G81" s="82">
        <f t="shared" si="12"/>
        <v>0</v>
      </c>
      <c r="H81" s="82">
        <f t="shared" si="13"/>
        <v>0</v>
      </c>
    </row>
    <row r="82" spans="1:12" ht="14.45" hidden="1" x14ac:dyDescent="0.35">
      <c r="A82" s="47">
        <f t="shared" si="6"/>
        <v>0</v>
      </c>
      <c r="B82" s="82">
        <f t="shared" si="7"/>
        <v>0</v>
      </c>
      <c r="C82" s="82">
        <f t="shared" si="8"/>
        <v>0</v>
      </c>
      <c r="D82" s="82">
        <f t="shared" si="9"/>
        <v>0</v>
      </c>
      <c r="E82" s="82">
        <f t="shared" si="10"/>
        <v>0</v>
      </c>
      <c r="F82" s="82">
        <f t="shared" si="11"/>
        <v>0</v>
      </c>
      <c r="G82" s="82">
        <f t="shared" si="12"/>
        <v>0</v>
      </c>
      <c r="H82" s="82">
        <f t="shared" si="13"/>
        <v>0</v>
      </c>
    </row>
    <row r="83" spans="1:12" ht="14.45" hidden="1" x14ac:dyDescent="0.35">
      <c r="A83" s="47">
        <f t="shared" si="6"/>
        <v>0</v>
      </c>
      <c r="B83" s="82">
        <f t="shared" si="7"/>
        <v>0</v>
      </c>
      <c r="C83" s="82">
        <f t="shared" si="8"/>
        <v>0</v>
      </c>
      <c r="D83" s="82">
        <f t="shared" si="9"/>
        <v>0</v>
      </c>
      <c r="E83" s="82">
        <f t="shared" si="10"/>
        <v>0</v>
      </c>
      <c r="F83" s="82">
        <f t="shared" si="11"/>
        <v>0</v>
      </c>
      <c r="G83" s="82">
        <f t="shared" si="12"/>
        <v>0</v>
      </c>
      <c r="H83" s="82">
        <f t="shared" si="13"/>
        <v>0</v>
      </c>
    </row>
    <row r="84" spans="1:12" ht="14.45" hidden="1" x14ac:dyDescent="0.35">
      <c r="A84" s="47">
        <f t="shared" si="6"/>
        <v>0</v>
      </c>
      <c r="B84" s="82">
        <f t="shared" si="7"/>
        <v>0</v>
      </c>
      <c r="C84" s="82">
        <f t="shared" ref="C84:H89" si="14">C27*$B$63</f>
        <v>0</v>
      </c>
      <c r="D84" s="82">
        <f t="shared" si="14"/>
        <v>0</v>
      </c>
      <c r="E84" s="82">
        <f t="shared" si="14"/>
        <v>0</v>
      </c>
      <c r="F84" s="82">
        <f t="shared" si="14"/>
        <v>0</v>
      </c>
      <c r="G84" s="82">
        <f t="shared" si="14"/>
        <v>0</v>
      </c>
      <c r="H84" s="82">
        <f t="shared" si="14"/>
        <v>0</v>
      </c>
    </row>
    <row r="85" spans="1:12" ht="14.45" hidden="1" x14ac:dyDescent="0.35">
      <c r="A85" s="47">
        <f t="shared" si="6"/>
        <v>0</v>
      </c>
      <c r="B85" s="82">
        <f t="shared" si="7"/>
        <v>0</v>
      </c>
      <c r="C85" s="82">
        <f t="shared" si="14"/>
        <v>0</v>
      </c>
      <c r="D85" s="82">
        <f t="shared" si="14"/>
        <v>0</v>
      </c>
      <c r="E85" s="82">
        <f t="shared" si="14"/>
        <v>0</v>
      </c>
      <c r="F85" s="82">
        <f t="shared" si="14"/>
        <v>0</v>
      </c>
      <c r="G85" s="82">
        <f t="shared" si="14"/>
        <v>0</v>
      </c>
      <c r="H85" s="82">
        <f t="shared" si="14"/>
        <v>0</v>
      </c>
    </row>
    <row r="86" spans="1:12" ht="14.45" hidden="1" x14ac:dyDescent="0.35">
      <c r="A86" s="47">
        <f t="shared" si="6"/>
        <v>0</v>
      </c>
      <c r="B86" s="82">
        <f t="shared" si="7"/>
        <v>0</v>
      </c>
      <c r="C86" s="82">
        <f t="shared" si="14"/>
        <v>0</v>
      </c>
      <c r="D86" s="82">
        <f t="shared" si="14"/>
        <v>0</v>
      </c>
      <c r="E86" s="82">
        <f t="shared" si="14"/>
        <v>0</v>
      </c>
      <c r="F86" s="82">
        <f t="shared" si="14"/>
        <v>0</v>
      </c>
      <c r="G86" s="82">
        <f t="shared" si="14"/>
        <v>0</v>
      </c>
      <c r="H86" s="82">
        <f t="shared" si="14"/>
        <v>0</v>
      </c>
    </row>
    <row r="87" spans="1:12" ht="14.45" hidden="1" x14ac:dyDescent="0.35">
      <c r="A87" s="47">
        <f t="shared" si="6"/>
        <v>0</v>
      </c>
      <c r="B87" s="82">
        <f t="shared" si="7"/>
        <v>0</v>
      </c>
      <c r="C87" s="82">
        <f t="shared" si="14"/>
        <v>0</v>
      </c>
      <c r="D87" s="82">
        <f t="shared" si="14"/>
        <v>0</v>
      </c>
      <c r="E87" s="82">
        <f t="shared" si="14"/>
        <v>0</v>
      </c>
      <c r="F87" s="82">
        <f t="shared" si="14"/>
        <v>0</v>
      </c>
      <c r="G87" s="82">
        <f t="shared" si="14"/>
        <v>0</v>
      </c>
      <c r="H87" s="82">
        <f t="shared" si="14"/>
        <v>0</v>
      </c>
    </row>
    <row r="88" spans="1:12" ht="14.45" hidden="1" x14ac:dyDescent="0.35">
      <c r="A88" s="47">
        <f t="shared" si="6"/>
        <v>0</v>
      </c>
      <c r="B88" s="82">
        <f t="shared" si="7"/>
        <v>0</v>
      </c>
      <c r="C88" s="82">
        <f t="shared" si="14"/>
        <v>0</v>
      </c>
      <c r="D88" s="82">
        <f t="shared" si="14"/>
        <v>0</v>
      </c>
      <c r="E88" s="82">
        <f t="shared" si="14"/>
        <v>0</v>
      </c>
      <c r="F88" s="82">
        <f t="shared" si="14"/>
        <v>0</v>
      </c>
      <c r="G88" s="82">
        <f t="shared" si="14"/>
        <v>0</v>
      </c>
      <c r="H88" s="82">
        <f t="shared" si="14"/>
        <v>0</v>
      </c>
    </row>
    <row r="89" spans="1:12" ht="14.45" hidden="1" x14ac:dyDescent="0.35">
      <c r="A89" s="47">
        <f t="shared" si="6"/>
        <v>0</v>
      </c>
      <c r="B89" s="82">
        <f t="shared" si="7"/>
        <v>0</v>
      </c>
      <c r="C89" s="82">
        <f t="shared" si="14"/>
        <v>0</v>
      </c>
      <c r="D89" s="82">
        <f t="shared" si="14"/>
        <v>0</v>
      </c>
      <c r="E89" s="82">
        <f t="shared" si="14"/>
        <v>0</v>
      </c>
      <c r="F89" s="82">
        <f t="shared" si="14"/>
        <v>0</v>
      </c>
      <c r="G89" s="82">
        <f t="shared" si="14"/>
        <v>0</v>
      </c>
      <c r="H89" s="82">
        <f t="shared" si="14"/>
        <v>0</v>
      </c>
    </row>
    <row r="90" spans="1:12" x14ac:dyDescent="0.25">
      <c r="A90" s="47"/>
      <c r="B90" s="82"/>
      <c r="C90" s="82"/>
      <c r="D90" s="82"/>
      <c r="E90" s="82"/>
      <c r="F90" s="82"/>
      <c r="G90" s="82"/>
      <c r="H90" s="82"/>
      <c r="J90" s="130"/>
      <c r="K90" s="130"/>
      <c r="L90" s="130"/>
    </row>
    <row r="91" spans="1:12" ht="14.45" hidden="1" x14ac:dyDescent="0.35">
      <c r="A91" s="47" t="str">
        <f t="shared" ref="A91:A109" si="15">A34</f>
        <v>Fruit  &amp; Vegetables Crop Production Details</v>
      </c>
      <c r="B91" s="82"/>
      <c r="C91" s="82"/>
      <c r="D91" s="82"/>
      <c r="E91" s="82"/>
      <c r="F91" s="82"/>
      <c r="G91" s="82"/>
      <c r="H91" s="82"/>
      <c r="J91" s="130"/>
      <c r="K91" s="130"/>
      <c r="L91" s="130"/>
    </row>
    <row r="92" spans="1:12" ht="14.45" hidden="1" x14ac:dyDescent="0.35">
      <c r="A92" s="47" t="str">
        <f t="shared" si="15"/>
        <v>Onion</v>
      </c>
      <c r="B92" s="82">
        <f t="shared" ref="B92:H101" si="16">B35</f>
        <v>0</v>
      </c>
      <c r="C92" s="82">
        <f t="shared" si="16"/>
        <v>0</v>
      </c>
      <c r="D92" s="82">
        <f t="shared" si="16"/>
        <v>0</v>
      </c>
      <c r="E92" s="82">
        <f t="shared" si="16"/>
        <v>0</v>
      </c>
      <c r="F92" s="82">
        <f t="shared" si="16"/>
        <v>0</v>
      </c>
      <c r="G92" s="82">
        <f t="shared" si="16"/>
        <v>0</v>
      </c>
      <c r="H92" s="82">
        <f t="shared" si="16"/>
        <v>0</v>
      </c>
      <c r="J92" s="130"/>
      <c r="K92" s="130"/>
      <c r="L92" s="130"/>
    </row>
    <row r="93" spans="1:12" ht="14.45" hidden="1" x14ac:dyDescent="0.35">
      <c r="A93" s="47" t="str">
        <f t="shared" si="15"/>
        <v>Tomato</v>
      </c>
      <c r="B93" s="82">
        <f t="shared" si="16"/>
        <v>0</v>
      </c>
      <c r="C93" s="82">
        <f t="shared" si="16"/>
        <v>0</v>
      </c>
      <c r="D93" s="82">
        <f t="shared" si="16"/>
        <v>0</v>
      </c>
      <c r="E93" s="82">
        <f t="shared" si="16"/>
        <v>0</v>
      </c>
      <c r="F93" s="82">
        <f t="shared" si="16"/>
        <v>0</v>
      </c>
      <c r="G93" s="82">
        <f t="shared" si="16"/>
        <v>0</v>
      </c>
      <c r="H93" s="82">
        <f t="shared" si="16"/>
        <v>0</v>
      </c>
      <c r="J93" s="130"/>
      <c r="K93" s="130"/>
      <c r="L93" s="130"/>
    </row>
    <row r="94" spans="1:12" ht="14.45" hidden="1" x14ac:dyDescent="0.35">
      <c r="A94" s="47" t="str">
        <f t="shared" si="15"/>
        <v>Okra</v>
      </c>
      <c r="B94" s="82">
        <f t="shared" si="16"/>
        <v>0</v>
      </c>
      <c r="C94" s="82">
        <f t="shared" si="16"/>
        <v>0</v>
      </c>
      <c r="D94" s="82">
        <f t="shared" si="16"/>
        <v>0</v>
      </c>
      <c r="E94" s="82">
        <f t="shared" si="16"/>
        <v>0</v>
      </c>
      <c r="F94" s="82">
        <f t="shared" si="16"/>
        <v>0</v>
      </c>
      <c r="G94" s="82">
        <f t="shared" si="16"/>
        <v>0</v>
      </c>
      <c r="H94" s="82">
        <f t="shared" si="16"/>
        <v>0</v>
      </c>
      <c r="J94" s="130"/>
      <c r="K94" s="130"/>
      <c r="L94" s="130"/>
    </row>
    <row r="95" spans="1:12" ht="14.45" hidden="1" x14ac:dyDescent="0.35">
      <c r="A95" s="47" t="str">
        <f t="shared" si="15"/>
        <v>Chilli</v>
      </c>
      <c r="B95" s="82">
        <f t="shared" si="16"/>
        <v>0</v>
      </c>
      <c r="C95" s="82">
        <f t="shared" si="16"/>
        <v>0</v>
      </c>
      <c r="D95" s="82">
        <f t="shared" si="16"/>
        <v>0</v>
      </c>
      <c r="E95" s="82">
        <f t="shared" si="16"/>
        <v>0</v>
      </c>
      <c r="F95" s="82">
        <f t="shared" si="16"/>
        <v>0</v>
      </c>
      <c r="G95" s="82">
        <f t="shared" si="16"/>
        <v>0</v>
      </c>
      <c r="H95" s="82">
        <f t="shared" si="16"/>
        <v>0</v>
      </c>
      <c r="J95" s="130"/>
      <c r="K95" s="130"/>
      <c r="L95" s="130"/>
    </row>
    <row r="96" spans="1:12" ht="14.45" hidden="1" x14ac:dyDescent="0.35">
      <c r="A96" s="47" t="str">
        <f t="shared" si="15"/>
        <v>Potato</v>
      </c>
      <c r="B96" s="82">
        <f t="shared" si="16"/>
        <v>0</v>
      </c>
      <c r="C96" s="82">
        <f t="shared" si="16"/>
        <v>0</v>
      </c>
      <c r="D96" s="82">
        <f t="shared" si="16"/>
        <v>0</v>
      </c>
      <c r="E96" s="82">
        <f t="shared" si="16"/>
        <v>0</v>
      </c>
      <c r="F96" s="82">
        <f t="shared" si="16"/>
        <v>0</v>
      </c>
      <c r="G96" s="82">
        <f t="shared" si="16"/>
        <v>0</v>
      </c>
      <c r="H96" s="82">
        <f t="shared" si="16"/>
        <v>0</v>
      </c>
      <c r="J96" s="130"/>
      <c r="K96" s="130"/>
      <c r="L96" s="130"/>
    </row>
    <row r="97" spans="1:12" ht="14.45" hidden="1" x14ac:dyDescent="0.35">
      <c r="A97" s="47">
        <f t="shared" si="15"/>
        <v>0</v>
      </c>
      <c r="B97" s="82">
        <f t="shared" si="16"/>
        <v>0</v>
      </c>
      <c r="C97" s="82">
        <f t="shared" si="16"/>
        <v>0</v>
      </c>
      <c r="D97" s="82">
        <f t="shared" si="16"/>
        <v>0</v>
      </c>
      <c r="E97" s="82">
        <f t="shared" si="16"/>
        <v>0</v>
      </c>
      <c r="F97" s="82">
        <f t="shared" si="16"/>
        <v>0</v>
      </c>
      <c r="G97" s="82">
        <f t="shared" si="16"/>
        <v>0</v>
      </c>
      <c r="H97" s="82">
        <f t="shared" si="16"/>
        <v>0</v>
      </c>
      <c r="J97" s="130"/>
      <c r="K97" s="130"/>
      <c r="L97" s="130"/>
    </row>
    <row r="98" spans="1:12" ht="14.45" hidden="1" x14ac:dyDescent="0.35">
      <c r="A98" s="47">
        <f t="shared" si="15"/>
        <v>0</v>
      </c>
      <c r="B98" s="82">
        <f t="shared" si="16"/>
        <v>0</v>
      </c>
      <c r="C98" s="82">
        <f t="shared" si="16"/>
        <v>0</v>
      </c>
      <c r="D98" s="82">
        <f t="shared" si="16"/>
        <v>0</v>
      </c>
      <c r="E98" s="82">
        <f t="shared" si="16"/>
        <v>0</v>
      </c>
      <c r="F98" s="82">
        <f t="shared" si="16"/>
        <v>0</v>
      </c>
      <c r="G98" s="82">
        <f t="shared" si="16"/>
        <v>0</v>
      </c>
      <c r="H98" s="82">
        <f t="shared" si="16"/>
        <v>0</v>
      </c>
      <c r="J98" s="130"/>
      <c r="K98" s="130"/>
      <c r="L98" s="130"/>
    </row>
    <row r="99" spans="1:12" ht="14.45" hidden="1" x14ac:dyDescent="0.35">
      <c r="A99" s="47">
        <f t="shared" si="15"/>
        <v>0</v>
      </c>
      <c r="B99" s="82">
        <f t="shared" si="16"/>
        <v>0</v>
      </c>
      <c r="C99" s="82">
        <f t="shared" si="16"/>
        <v>0</v>
      </c>
      <c r="D99" s="82">
        <f t="shared" si="16"/>
        <v>0</v>
      </c>
      <c r="E99" s="82">
        <f t="shared" si="16"/>
        <v>0</v>
      </c>
      <c r="F99" s="82">
        <f t="shared" si="16"/>
        <v>0</v>
      </c>
      <c r="G99" s="82">
        <f t="shared" si="16"/>
        <v>0</v>
      </c>
      <c r="H99" s="82">
        <f t="shared" si="16"/>
        <v>0</v>
      </c>
      <c r="J99" s="130"/>
      <c r="K99" s="130"/>
      <c r="L99" s="130"/>
    </row>
    <row r="100" spans="1:12" ht="14.45" hidden="1" x14ac:dyDescent="0.35">
      <c r="A100" s="47">
        <f t="shared" si="15"/>
        <v>0</v>
      </c>
      <c r="B100" s="82">
        <f t="shared" si="16"/>
        <v>0</v>
      </c>
      <c r="C100" s="82">
        <f t="shared" si="16"/>
        <v>0</v>
      </c>
      <c r="D100" s="82">
        <f t="shared" si="16"/>
        <v>0</v>
      </c>
      <c r="E100" s="82">
        <f t="shared" si="16"/>
        <v>0</v>
      </c>
      <c r="F100" s="82">
        <f t="shared" si="16"/>
        <v>0</v>
      </c>
      <c r="G100" s="82">
        <f t="shared" si="16"/>
        <v>0</v>
      </c>
      <c r="H100" s="82">
        <f t="shared" si="16"/>
        <v>0</v>
      </c>
      <c r="J100" s="130"/>
      <c r="K100" s="130"/>
      <c r="L100" s="130"/>
    </row>
    <row r="101" spans="1:12" ht="14.45" hidden="1" x14ac:dyDescent="0.35">
      <c r="A101" s="47" t="str">
        <f t="shared" si="15"/>
        <v>Onion</v>
      </c>
      <c r="B101" s="82">
        <f t="shared" si="16"/>
        <v>0</v>
      </c>
      <c r="C101" s="82">
        <f t="shared" si="16"/>
        <v>0</v>
      </c>
      <c r="D101" s="82">
        <f t="shared" si="16"/>
        <v>0</v>
      </c>
      <c r="E101" s="82">
        <f t="shared" si="16"/>
        <v>0</v>
      </c>
      <c r="F101" s="82">
        <f t="shared" si="16"/>
        <v>0</v>
      </c>
      <c r="G101" s="82">
        <f t="shared" si="16"/>
        <v>0</v>
      </c>
      <c r="H101" s="82">
        <f t="shared" si="16"/>
        <v>0</v>
      </c>
      <c r="J101" s="130"/>
      <c r="K101" s="130"/>
      <c r="L101" s="130"/>
    </row>
    <row r="102" spans="1:12" ht="14.45" hidden="1" x14ac:dyDescent="0.35">
      <c r="A102" s="47" t="str">
        <f t="shared" si="15"/>
        <v>Tomato</v>
      </c>
      <c r="B102" s="82">
        <f t="shared" ref="B102:H109" si="17">B45</f>
        <v>0</v>
      </c>
      <c r="C102" s="82">
        <f t="shared" si="17"/>
        <v>0</v>
      </c>
      <c r="D102" s="82">
        <f t="shared" si="17"/>
        <v>0</v>
      </c>
      <c r="E102" s="82">
        <f t="shared" si="17"/>
        <v>0</v>
      </c>
      <c r="F102" s="82">
        <f t="shared" si="17"/>
        <v>0</v>
      </c>
      <c r="G102" s="82">
        <f t="shared" si="17"/>
        <v>0</v>
      </c>
      <c r="H102" s="82">
        <f t="shared" si="17"/>
        <v>0</v>
      </c>
      <c r="J102" s="130"/>
      <c r="K102" s="130"/>
      <c r="L102" s="130"/>
    </row>
    <row r="103" spans="1:12" ht="14.45" hidden="1" x14ac:dyDescent="0.35">
      <c r="A103" s="47" t="str">
        <f t="shared" si="15"/>
        <v>Okra</v>
      </c>
      <c r="B103" s="82">
        <f t="shared" si="17"/>
        <v>0</v>
      </c>
      <c r="C103" s="82">
        <f t="shared" si="17"/>
        <v>0</v>
      </c>
      <c r="D103" s="82">
        <f t="shared" si="17"/>
        <v>0</v>
      </c>
      <c r="E103" s="82">
        <f t="shared" si="17"/>
        <v>0</v>
      </c>
      <c r="F103" s="82">
        <f t="shared" si="17"/>
        <v>0</v>
      </c>
      <c r="G103" s="82">
        <f t="shared" si="17"/>
        <v>0</v>
      </c>
      <c r="H103" s="82">
        <f t="shared" si="17"/>
        <v>0</v>
      </c>
      <c r="J103" s="130"/>
      <c r="K103" s="130"/>
      <c r="L103" s="130"/>
    </row>
    <row r="104" spans="1:12" ht="14.45" hidden="1" x14ac:dyDescent="0.35">
      <c r="A104" s="47" t="str">
        <f t="shared" si="15"/>
        <v>Chilli</v>
      </c>
      <c r="B104" s="82">
        <f t="shared" si="17"/>
        <v>0</v>
      </c>
      <c r="C104" s="82">
        <f t="shared" si="17"/>
        <v>0</v>
      </c>
      <c r="D104" s="82">
        <f t="shared" si="17"/>
        <v>0</v>
      </c>
      <c r="E104" s="82">
        <f t="shared" si="17"/>
        <v>0</v>
      </c>
      <c r="F104" s="82">
        <f t="shared" si="17"/>
        <v>0</v>
      </c>
      <c r="G104" s="82">
        <f t="shared" si="17"/>
        <v>0</v>
      </c>
      <c r="H104" s="82">
        <f t="shared" si="17"/>
        <v>0</v>
      </c>
      <c r="J104" s="130"/>
      <c r="K104" s="130"/>
      <c r="L104" s="130"/>
    </row>
    <row r="105" spans="1:12" ht="14.45" hidden="1" x14ac:dyDescent="0.35">
      <c r="A105" s="47" t="str">
        <f t="shared" si="15"/>
        <v>Brinjal</v>
      </c>
      <c r="B105" s="82">
        <f t="shared" si="17"/>
        <v>0</v>
      </c>
      <c r="C105" s="82">
        <f t="shared" si="17"/>
        <v>0</v>
      </c>
      <c r="D105" s="82">
        <f t="shared" si="17"/>
        <v>0</v>
      </c>
      <c r="E105" s="82">
        <f t="shared" si="17"/>
        <v>0</v>
      </c>
      <c r="F105" s="82">
        <f t="shared" si="17"/>
        <v>0</v>
      </c>
      <c r="G105" s="82">
        <f t="shared" si="17"/>
        <v>0</v>
      </c>
      <c r="H105" s="82">
        <f t="shared" si="17"/>
        <v>0</v>
      </c>
      <c r="J105" s="130"/>
      <c r="K105" s="130"/>
      <c r="L105" s="130"/>
    </row>
    <row r="106" spans="1:12" ht="14.45" hidden="1" x14ac:dyDescent="0.35">
      <c r="A106" s="47">
        <f t="shared" si="15"/>
        <v>0</v>
      </c>
      <c r="B106" s="82">
        <f t="shared" si="17"/>
        <v>0</v>
      </c>
      <c r="C106" s="82">
        <f t="shared" si="17"/>
        <v>0</v>
      </c>
      <c r="D106" s="82">
        <f t="shared" si="17"/>
        <v>0</v>
      </c>
      <c r="E106" s="82">
        <f t="shared" si="17"/>
        <v>0</v>
      </c>
      <c r="F106" s="82">
        <f t="shared" si="17"/>
        <v>0</v>
      </c>
      <c r="G106" s="82">
        <f t="shared" si="17"/>
        <v>0</v>
      </c>
      <c r="H106" s="82">
        <f t="shared" si="17"/>
        <v>0</v>
      </c>
      <c r="J106" s="130"/>
      <c r="K106" s="130"/>
      <c r="L106" s="130"/>
    </row>
    <row r="107" spans="1:12" ht="14.45" hidden="1" x14ac:dyDescent="0.35">
      <c r="A107" s="47">
        <f t="shared" si="15"/>
        <v>0</v>
      </c>
      <c r="B107" s="82">
        <f t="shared" si="17"/>
        <v>0</v>
      </c>
      <c r="C107" s="82">
        <f t="shared" si="17"/>
        <v>0</v>
      </c>
      <c r="D107" s="82">
        <f t="shared" si="17"/>
        <v>0</v>
      </c>
      <c r="E107" s="82">
        <f t="shared" si="17"/>
        <v>0</v>
      </c>
      <c r="F107" s="82">
        <f t="shared" si="17"/>
        <v>0</v>
      </c>
      <c r="G107" s="82">
        <f t="shared" si="17"/>
        <v>0</v>
      </c>
      <c r="H107" s="82">
        <f t="shared" si="17"/>
        <v>0</v>
      </c>
      <c r="J107" s="130"/>
      <c r="K107" s="130"/>
      <c r="L107" s="130"/>
    </row>
    <row r="108" spans="1:12" ht="14.45" hidden="1" x14ac:dyDescent="0.35">
      <c r="A108" s="47">
        <f t="shared" si="15"/>
        <v>0</v>
      </c>
      <c r="B108" s="82">
        <f t="shared" si="17"/>
        <v>0</v>
      </c>
      <c r="C108" s="82">
        <f t="shared" si="17"/>
        <v>0</v>
      </c>
      <c r="D108" s="82">
        <f t="shared" si="17"/>
        <v>0</v>
      </c>
      <c r="E108" s="82">
        <f t="shared" si="17"/>
        <v>0</v>
      </c>
      <c r="F108" s="82">
        <f t="shared" si="17"/>
        <v>0</v>
      </c>
      <c r="G108" s="82">
        <f t="shared" si="17"/>
        <v>0</v>
      </c>
      <c r="H108" s="82">
        <f t="shared" si="17"/>
        <v>0</v>
      </c>
      <c r="J108" s="130"/>
      <c r="K108" s="130"/>
      <c r="L108" s="130"/>
    </row>
    <row r="109" spans="1:12" ht="14.45" hidden="1" x14ac:dyDescent="0.35">
      <c r="A109" s="47">
        <f t="shared" si="15"/>
        <v>0</v>
      </c>
      <c r="B109" s="82">
        <f t="shared" si="17"/>
        <v>0</v>
      </c>
      <c r="C109" s="82">
        <f t="shared" si="17"/>
        <v>0</v>
      </c>
      <c r="D109" s="82">
        <f t="shared" si="17"/>
        <v>0</v>
      </c>
      <c r="E109" s="82">
        <f t="shared" si="17"/>
        <v>0</v>
      </c>
      <c r="F109" s="82">
        <f t="shared" si="17"/>
        <v>0</v>
      </c>
      <c r="G109" s="82">
        <f t="shared" si="17"/>
        <v>0</v>
      </c>
      <c r="H109" s="82">
        <f t="shared" si="17"/>
        <v>0</v>
      </c>
      <c r="J109" s="130"/>
      <c r="K109" s="130"/>
      <c r="L109" s="130"/>
    </row>
    <row r="110" spans="1:12" ht="14.45" hidden="1" x14ac:dyDescent="0.35">
      <c r="A110" s="47">
        <f t="shared" ref="A110:A113" si="18">A53</f>
        <v>0</v>
      </c>
      <c r="B110" s="82"/>
      <c r="C110" s="82"/>
      <c r="D110" s="82"/>
      <c r="E110" s="82"/>
      <c r="F110" s="82"/>
      <c r="G110" s="82"/>
      <c r="H110" s="82"/>
      <c r="J110" s="130"/>
      <c r="K110" s="130"/>
      <c r="L110" s="130"/>
    </row>
    <row r="111" spans="1:12" ht="14.45" hidden="1" x14ac:dyDescent="0.35">
      <c r="A111" s="47">
        <f t="shared" si="18"/>
        <v>0</v>
      </c>
      <c r="B111" s="82"/>
      <c r="C111" s="82"/>
      <c r="D111" s="82"/>
      <c r="E111" s="82"/>
      <c r="F111" s="82"/>
      <c r="G111" s="82"/>
      <c r="H111" s="82"/>
      <c r="J111" s="130"/>
      <c r="K111" s="130"/>
      <c r="L111" s="130"/>
    </row>
    <row r="112" spans="1:12" ht="14.45" hidden="1" x14ac:dyDescent="0.35">
      <c r="A112" s="47">
        <f t="shared" si="18"/>
        <v>0</v>
      </c>
      <c r="B112" s="82"/>
      <c r="C112" s="82"/>
      <c r="D112" s="82"/>
      <c r="E112" s="82"/>
      <c r="F112" s="82"/>
      <c r="G112" s="82"/>
      <c r="H112" s="82"/>
      <c r="J112" s="130"/>
      <c r="K112" s="130"/>
      <c r="L112" s="130"/>
    </row>
    <row r="113" spans="1:12" ht="14.45" hidden="1" x14ac:dyDescent="0.35">
      <c r="A113" s="47" t="str">
        <f t="shared" si="18"/>
        <v>Pomegranate</v>
      </c>
      <c r="B113" s="82">
        <f t="shared" ref="B113:H116" si="19">B56</f>
        <v>0</v>
      </c>
      <c r="C113" s="82">
        <f t="shared" si="19"/>
        <v>0</v>
      </c>
      <c r="D113" s="82">
        <f t="shared" si="19"/>
        <v>0</v>
      </c>
      <c r="E113" s="82">
        <f t="shared" si="19"/>
        <v>0</v>
      </c>
      <c r="F113" s="82">
        <f t="shared" si="19"/>
        <v>0</v>
      </c>
      <c r="G113" s="82">
        <f t="shared" si="19"/>
        <v>0</v>
      </c>
      <c r="H113" s="82">
        <f t="shared" si="19"/>
        <v>0</v>
      </c>
      <c r="J113" s="130"/>
      <c r="K113" s="130"/>
      <c r="L113" s="130"/>
    </row>
    <row r="114" spans="1:12" ht="14.45" hidden="1" x14ac:dyDescent="0.35">
      <c r="A114" s="47" t="str">
        <f>A57</f>
        <v>Custard Apple</v>
      </c>
      <c r="B114" s="82">
        <f t="shared" si="19"/>
        <v>0</v>
      </c>
      <c r="C114" s="82">
        <f t="shared" si="19"/>
        <v>0</v>
      </c>
      <c r="D114" s="82">
        <f t="shared" si="19"/>
        <v>0</v>
      </c>
      <c r="E114" s="82">
        <f t="shared" si="19"/>
        <v>0</v>
      </c>
      <c r="F114" s="82">
        <f t="shared" si="19"/>
        <v>0</v>
      </c>
      <c r="G114" s="82">
        <f t="shared" si="19"/>
        <v>0</v>
      </c>
      <c r="H114" s="82">
        <f t="shared" si="19"/>
        <v>0</v>
      </c>
      <c r="J114" s="130"/>
      <c r="K114" s="130"/>
      <c r="L114" s="130"/>
    </row>
    <row r="115" spans="1:12" ht="14.45" hidden="1" x14ac:dyDescent="0.35">
      <c r="A115" s="47" t="str">
        <f>A58</f>
        <v>Guava</v>
      </c>
      <c r="B115" s="82">
        <f t="shared" si="19"/>
        <v>0</v>
      </c>
      <c r="C115" s="82">
        <f t="shared" si="19"/>
        <v>0</v>
      </c>
      <c r="D115" s="82">
        <f t="shared" si="19"/>
        <v>0</v>
      </c>
      <c r="E115" s="82">
        <f t="shared" si="19"/>
        <v>0</v>
      </c>
      <c r="F115" s="82">
        <f t="shared" si="19"/>
        <v>0</v>
      </c>
      <c r="G115" s="82">
        <f t="shared" si="19"/>
        <v>0</v>
      </c>
      <c r="H115" s="82">
        <f t="shared" si="19"/>
        <v>0</v>
      </c>
      <c r="J115" s="130"/>
      <c r="K115" s="130"/>
      <c r="L115" s="130"/>
    </row>
    <row r="116" spans="1:12" ht="14.45" hidden="1" x14ac:dyDescent="0.35">
      <c r="A116" s="47" t="str">
        <f>A59</f>
        <v>Citrus</v>
      </c>
      <c r="B116" s="82">
        <f t="shared" si="19"/>
        <v>0</v>
      </c>
      <c r="C116" s="82">
        <f t="shared" si="19"/>
        <v>0</v>
      </c>
      <c r="D116" s="82">
        <f t="shared" si="19"/>
        <v>0</v>
      </c>
      <c r="E116" s="82">
        <f t="shared" si="19"/>
        <v>0</v>
      </c>
      <c r="F116" s="82">
        <f t="shared" si="19"/>
        <v>0</v>
      </c>
      <c r="G116" s="82">
        <f t="shared" si="19"/>
        <v>0</v>
      </c>
      <c r="H116" s="82">
        <f t="shared" si="19"/>
        <v>0</v>
      </c>
      <c r="J116" s="130"/>
      <c r="K116" s="130"/>
      <c r="L116" s="130"/>
    </row>
    <row r="117" spans="1:12" ht="14.45" hidden="1" x14ac:dyDescent="0.35">
      <c r="A117" s="47"/>
      <c r="B117" s="82"/>
      <c r="C117" s="82"/>
      <c r="D117" s="82"/>
      <c r="E117" s="82"/>
      <c r="F117" s="82"/>
      <c r="G117" s="82"/>
      <c r="H117" s="82"/>
      <c r="J117" s="130"/>
      <c r="K117" s="130"/>
      <c r="L117" s="130"/>
    </row>
    <row r="118" spans="1:12" x14ac:dyDescent="0.25">
      <c r="A118" s="47"/>
      <c r="B118" s="82"/>
      <c r="C118" s="82"/>
      <c r="D118" s="82"/>
      <c r="E118" s="82"/>
      <c r="F118" s="82"/>
      <c r="G118" s="82"/>
      <c r="H118" s="82"/>
      <c r="J118" s="130"/>
      <c r="K118" s="130"/>
      <c r="L118" s="130"/>
    </row>
    <row r="119" spans="1:12" x14ac:dyDescent="0.25">
      <c r="A119" s="83" t="s">
        <v>139</v>
      </c>
      <c r="B119" s="82"/>
      <c r="C119" s="82"/>
      <c r="D119" s="82"/>
      <c r="E119" s="82"/>
      <c r="F119" s="82"/>
      <c r="G119" s="82"/>
      <c r="H119" s="82"/>
    </row>
    <row r="120" spans="1:12" x14ac:dyDescent="0.25">
      <c r="A120" s="70" t="str">
        <f t="shared" ref="A120:A141" si="20">A68</f>
        <v>Maize</v>
      </c>
      <c r="B120" s="121">
        <f t="shared" ref="B120:H129" si="21">B68-(B68*$G$6)</f>
        <v>1512.4725000000003</v>
      </c>
      <c r="C120" s="121">
        <f t="shared" si="21"/>
        <v>1814.9670000000003</v>
      </c>
      <c r="D120" s="121">
        <f t="shared" si="21"/>
        <v>2117.4615000000003</v>
      </c>
      <c r="E120" s="121">
        <f t="shared" si="21"/>
        <v>2419.9560000000001</v>
      </c>
      <c r="F120" s="121">
        <f t="shared" si="21"/>
        <v>2722.4504999999999</v>
      </c>
      <c r="G120" s="121">
        <f t="shared" si="21"/>
        <v>3024.9449999999997</v>
      </c>
      <c r="H120" s="121">
        <f t="shared" si="21"/>
        <v>3327.4394999999995</v>
      </c>
    </row>
    <row r="121" spans="1:12" x14ac:dyDescent="0.25">
      <c r="A121" s="70" t="str">
        <f t="shared" si="20"/>
        <v>Red Gram/Tur</v>
      </c>
      <c r="B121" s="121">
        <f t="shared" si="21"/>
        <v>806.65200000000016</v>
      </c>
      <c r="C121" s="121">
        <f t="shared" si="21"/>
        <v>967.98240000000021</v>
      </c>
      <c r="D121" s="121">
        <f t="shared" si="21"/>
        <v>1129.3127999999999</v>
      </c>
      <c r="E121" s="121">
        <f t="shared" si="21"/>
        <v>1290.6432000000002</v>
      </c>
      <c r="F121" s="121">
        <f t="shared" si="21"/>
        <v>1451.9736</v>
      </c>
      <c r="G121" s="121">
        <f t="shared" si="21"/>
        <v>1613.3040000000001</v>
      </c>
      <c r="H121" s="121">
        <f t="shared" si="21"/>
        <v>1774.6344000000001</v>
      </c>
    </row>
    <row r="122" spans="1:12" x14ac:dyDescent="0.25">
      <c r="A122" s="70" t="str">
        <f t="shared" si="20"/>
        <v>Bajra</v>
      </c>
      <c r="B122" s="121">
        <f t="shared" si="21"/>
        <v>399.25200000000007</v>
      </c>
      <c r="C122" s="121">
        <f t="shared" si="21"/>
        <v>479.10239999999999</v>
      </c>
      <c r="D122" s="121">
        <f t="shared" si="21"/>
        <v>558.95280000000014</v>
      </c>
      <c r="E122" s="121">
        <f t="shared" si="21"/>
        <v>638.80320000000006</v>
      </c>
      <c r="F122" s="121">
        <f t="shared" si="21"/>
        <v>718.6536000000001</v>
      </c>
      <c r="G122" s="121">
        <f t="shared" si="21"/>
        <v>798.50399999999991</v>
      </c>
      <c r="H122" s="121">
        <f t="shared" si="21"/>
        <v>878.35439999999994</v>
      </c>
    </row>
    <row r="123" spans="1:12" ht="14.45" hidden="1" x14ac:dyDescent="0.35">
      <c r="A123" s="70">
        <f t="shared" si="20"/>
        <v>0</v>
      </c>
      <c r="B123" s="121">
        <f t="shared" si="21"/>
        <v>0</v>
      </c>
      <c r="C123" s="121">
        <f t="shared" si="21"/>
        <v>0</v>
      </c>
      <c r="D123" s="121">
        <f t="shared" si="21"/>
        <v>0</v>
      </c>
      <c r="E123" s="121">
        <f t="shared" si="21"/>
        <v>0</v>
      </c>
      <c r="F123" s="121">
        <f t="shared" si="21"/>
        <v>0</v>
      </c>
      <c r="G123" s="121">
        <f t="shared" si="21"/>
        <v>0</v>
      </c>
      <c r="H123" s="121">
        <f t="shared" si="21"/>
        <v>0</v>
      </c>
    </row>
    <row r="124" spans="1:12" ht="14.45" hidden="1" x14ac:dyDescent="0.35">
      <c r="A124" s="70">
        <f t="shared" si="20"/>
        <v>0</v>
      </c>
      <c r="B124" s="121">
        <f t="shared" si="21"/>
        <v>0</v>
      </c>
      <c r="C124" s="121">
        <f t="shared" si="21"/>
        <v>0</v>
      </c>
      <c r="D124" s="121">
        <f t="shared" si="21"/>
        <v>0</v>
      </c>
      <c r="E124" s="121">
        <f t="shared" si="21"/>
        <v>0</v>
      </c>
      <c r="F124" s="121">
        <f t="shared" si="21"/>
        <v>0</v>
      </c>
      <c r="G124" s="121">
        <f t="shared" si="21"/>
        <v>0</v>
      </c>
      <c r="H124" s="121">
        <f t="shared" si="21"/>
        <v>0</v>
      </c>
    </row>
    <row r="125" spans="1:12" ht="14.45" hidden="1" x14ac:dyDescent="0.35">
      <c r="A125" s="70">
        <f t="shared" si="20"/>
        <v>0</v>
      </c>
      <c r="B125" s="121">
        <f t="shared" si="21"/>
        <v>0</v>
      </c>
      <c r="C125" s="121">
        <f t="shared" si="21"/>
        <v>0</v>
      </c>
      <c r="D125" s="121">
        <f t="shared" si="21"/>
        <v>0</v>
      </c>
      <c r="E125" s="121">
        <f t="shared" si="21"/>
        <v>0</v>
      </c>
      <c r="F125" s="121">
        <f t="shared" si="21"/>
        <v>0</v>
      </c>
      <c r="G125" s="121">
        <f t="shared" si="21"/>
        <v>0</v>
      </c>
      <c r="H125" s="121">
        <f t="shared" si="21"/>
        <v>0</v>
      </c>
    </row>
    <row r="126" spans="1:12" ht="14.45" hidden="1" x14ac:dyDescent="0.35">
      <c r="A126" s="70">
        <f t="shared" si="20"/>
        <v>0</v>
      </c>
      <c r="B126" s="121">
        <f t="shared" si="21"/>
        <v>0</v>
      </c>
      <c r="C126" s="121">
        <f t="shared" si="21"/>
        <v>0</v>
      </c>
      <c r="D126" s="121">
        <f t="shared" si="21"/>
        <v>0</v>
      </c>
      <c r="E126" s="121">
        <f t="shared" si="21"/>
        <v>0</v>
      </c>
      <c r="F126" s="121">
        <f t="shared" si="21"/>
        <v>0</v>
      </c>
      <c r="G126" s="121">
        <f t="shared" si="21"/>
        <v>0</v>
      </c>
      <c r="H126" s="121">
        <f t="shared" si="21"/>
        <v>0</v>
      </c>
    </row>
    <row r="127" spans="1:12" ht="14.45" hidden="1" x14ac:dyDescent="0.35">
      <c r="A127" s="70">
        <f t="shared" si="20"/>
        <v>0</v>
      </c>
      <c r="B127" s="121">
        <f t="shared" si="21"/>
        <v>0</v>
      </c>
      <c r="C127" s="121">
        <f t="shared" si="21"/>
        <v>0</v>
      </c>
      <c r="D127" s="121">
        <f t="shared" si="21"/>
        <v>0</v>
      </c>
      <c r="E127" s="121">
        <f t="shared" si="21"/>
        <v>0</v>
      </c>
      <c r="F127" s="121">
        <f t="shared" si="21"/>
        <v>0</v>
      </c>
      <c r="G127" s="121">
        <f t="shared" si="21"/>
        <v>0</v>
      </c>
      <c r="H127" s="121">
        <f t="shared" si="21"/>
        <v>0</v>
      </c>
    </row>
    <row r="128" spans="1:12" ht="14.45" hidden="1" x14ac:dyDescent="0.35">
      <c r="A128" s="70">
        <f t="shared" si="20"/>
        <v>0</v>
      </c>
      <c r="B128" s="121">
        <f t="shared" si="21"/>
        <v>0</v>
      </c>
      <c r="C128" s="121">
        <f t="shared" si="21"/>
        <v>0</v>
      </c>
      <c r="D128" s="121">
        <f t="shared" si="21"/>
        <v>0</v>
      </c>
      <c r="E128" s="121">
        <f t="shared" si="21"/>
        <v>0</v>
      </c>
      <c r="F128" s="121">
        <f t="shared" si="21"/>
        <v>0</v>
      </c>
      <c r="G128" s="121">
        <f t="shared" si="21"/>
        <v>0</v>
      </c>
      <c r="H128" s="121">
        <f t="shared" si="21"/>
        <v>0</v>
      </c>
    </row>
    <row r="129" spans="1:8" x14ac:dyDescent="0.25">
      <c r="A129" s="70" t="str">
        <f t="shared" si="20"/>
        <v>Wheat</v>
      </c>
      <c r="B129" s="121">
        <f t="shared" si="21"/>
        <v>479.10240000000005</v>
      </c>
      <c r="C129" s="121">
        <f t="shared" si="21"/>
        <v>574.92288000000008</v>
      </c>
      <c r="D129" s="121">
        <f t="shared" si="21"/>
        <v>670.74336000000017</v>
      </c>
      <c r="E129" s="121">
        <f t="shared" si="21"/>
        <v>766.56384000000003</v>
      </c>
      <c r="F129" s="121">
        <f t="shared" si="21"/>
        <v>862.38432000000012</v>
      </c>
      <c r="G129" s="121">
        <f t="shared" si="21"/>
        <v>958.20479999999998</v>
      </c>
      <c r="H129" s="121">
        <f t="shared" si="21"/>
        <v>1054.0252800000003</v>
      </c>
    </row>
    <row r="130" spans="1:8" x14ac:dyDescent="0.25">
      <c r="A130" s="70" t="str">
        <f t="shared" si="20"/>
        <v>Bengal Gram/Channa</v>
      </c>
      <c r="B130" s="121">
        <f t="shared" ref="B130:H139" si="22">B78-(B78*$G$6)</f>
        <v>903.45024000000001</v>
      </c>
      <c r="C130" s="121">
        <f t="shared" si="22"/>
        <v>1084.1402880000003</v>
      </c>
      <c r="D130" s="121">
        <f t="shared" si="22"/>
        <v>1264.830336</v>
      </c>
      <c r="E130" s="121">
        <f t="shared" si="22"/>
        <v>1445.5203840000001</v>
      </c>
      <c r="F130" s="121">
        <f t="shared" si="22"/>
        <v>1626.2104319999999</v>
      </c>
      <c r="G130" s="121">
        <f t="shared" si="22"/>
        <v>1806.9004799999998</v>
      </c>
      <c r="H130" s="121">
        <f t="shared" si="22"/>
        <v>1987.5905279999997</v>
      </c>
    </row>
    <row r="131" spans="1:8" x14ac:dyDescent="0.25">
      <c r="A131" s="70" t="str">
        <f t="shared" si="20"/>
        <v>Jawar</v>
      </c>
      <c r="B131" s="121">
        <f t="shared" si="22"/>
        <v>479.10240000000005</v>
      </c>
      <c r="C131" s="121">
        <f t="shared" si="22"/>
        <v>574.92288000000008</v>
      </c>
      <c r="D131" s="121">
        <f t="shared" si="22"/>
        <v>670.74336000000017</v>
      </c>
      <c r="E131" s="121">
        <f t="shared" si="22"/>
        <v>766.56384000000003</v>
      </c>
      <c r="F131" s="121">
        <f t="shared" si="22"/>
        <v>862.38432000000012</v>
      </c>
      <c r="G131" s="121">
        <f t="shared" si="22"/>
        <v>958.20479999999998</v>
      </c>
      <c r="H131" s="121">
        <f t="shared" si="22"/>
        <v>1054.0252800000003</v>
      </c>
    </row>
    <row r="132" spans="1:8" x14ac:dyDescent="0.25">
      <c r="A132" s="70" t="str">
        <f t="shared" si="20"/>
        <v>Maize</v>
      </c>
      <c r="B132" s="121">
        <f t="shared" si="22"/>
        <v>967.98240000000021</v>
      </c>
      <c r="C132" s="121">
        <f t="shared" si="22"/>
        <v>1161.57888</v>
      </c>
      <c r="D132" s="121">
        <f t="shared" si="22"/>
        <v>1355.1753600000002</v>
      </c>
      <c r="E132" s="121">
        <f t="shared" si="22"/>
        <v>1548.7718400000003</v>
      </c>
      <c r="F132" s="121">
        <f t="shared" si="22"/>
        <v>1742.36832</v>
      </c>
      <c r="G132" s="121">
        <f t="shared" si="22"/>
        <v>1935.9648000000002</v>
      </c>
      <c r="H132" s="121">
        <f t="shared" si="22"/>
        <v>2129.5612799999999</v>
      </c>
    </row>
    <row r="133" spans="1:8" ht="14.45" hidden="1" x14ac:dyDescent="0.35">
      <c r="A133" s="70">
        <f t="shared" si="20"/>
        <v>0</v>
      </c>
      <c r="B133" s="131">
        <f t="shared" si="22"/>
        <v>0</v>
      </c>
      <c r="C133" s="131">
        <f t="shared" si="22"/>
        <v>0</v>
      </c>
      <c r="D133" s="131">
        <f t="shared" si="22"/>
        <v>0</v>
      </c>
      <c r="E133" s="131">
        <f t="shared" si="22"/>
        <v>0</v>
      </c>
      <c r="F133" s="131">
        <f t="shared" si="22"/>
        <v>0</v>
      </c>
      <c r="G133" s="131">
        <f t="shared" si="22"/>
        <v>0</v>
      </c>
      <c r="H133" s="131">
        <f t="shared" si="22"/>
        <v>0</v>
      </c>
    </row>
    <row r="134" spans="1:8" ht="14.45" hidden="1" x14ac:dyDescent="0.35">
      <c r="A134" s="70">
        <f t="shared" si="20"/>
        <v>0</v>
      </c>
      <c r="B134" s="131">
        <f t="shared" si="22"/>
        <v>0</v>
      </c>
      <c r="C134" s="131">
        <f t="shared" si="22"/>
        <v>0</v>
      </c>
      <c r="D134" s="131">
        <f t="shared" si="22"/>
        <v>0</v>
      </c>
      <c r="E134" s="131">
        <f t="shared" si="22"/>
        <v>0</v>
      </c>
      <c r="F134" s="131">
        <f t="shared" si="22"/>
        <v>0</v>
      </c>
      <c r="G134" s="131">
        <f t="shared" si="22"/>
        <v>0</v>
      </c>
      <c r="H134" s="131">
        <f t="shared" si="22"/>
        <v>0</v>
      </c>
    </row>
    <row r="135" spans="1:8" ht="14.45" hidden="1" x14ac:dyDescent="0.35">
      <c r="A135" s="70">
        <f t="shared" si="20"/>
        <v>0</v>
      </c>
      <c r="B135" s="131">
        <f t="shared" si="22"/>
        <v>0</v>
      </c>
      <c r="C135" s="131">
        <f t="shared" si="22"/>
        <v>0</v>
      </c>
      <c r="D135" s="131">
        <f t="shared" si="22"/>
        <v>0</v>
      </c>
      <c r="E135" s="131">
        <f t="shared" si="22"/>
        <v>0</v>
      </c>
      <c r="F135" s="131">
        <f t="shared" si="22"/>
        <v>0</v>
      </c>
      <c r="G135" s="131">
        <f t="shared" si="22"/>
        <v>0</v>
      </c>
      <c r="H135" s="131">
        <f t="shared" si="22"/>
        <v>0</v>
      </c>
    </row>
    <row r="136" spans="1:8" ht="14.45" hidden="1" x14ac:dyDescent="0.35">
      <c r="A136" s="70">
        <f t="shared" si="20"/>
        <v>0</v>
      </c>
      <c r="B136" s="131">
        <f t="shared" si="22"/>
        <v>0</v>
      </c>
      <c r="C136" s="131">
        <f t="shared" si="22"/>
        <v>0</v>
      </c>
      <c r="D136" s="131">
        <f t="shared" si="22"/>
        <v>0</v>
      </c>
      <c r="E136" s="131">
        <f t="shared" si="22"/>
        <v>0</v>
      </c>
      <c r="F136" s="131">
        <f t="shared" si="22"/>
        <v>0</v>
      </c>
      <c r="G136" s="131">
        <f t="shared" si="22"/>
        <v>0</v>
      </c>
      <c r="H136" s="131">
        <f t="shared" si="22"/>
        <v>0</v>
      </c>
    </row>
    <row r="137" spans="1:8" ht="14.45" hidden="1" x14ac:dyDescent="0.35">
      <c r="A137" s="70">
        <f t="shared" si="20"/>
        <v>0</v>
      </c>
      <c r="B137" s="131">
        <f t="shared" si="22"/>
        <v>0</v>
      </c>
      <c r="C137" s="131">
        <f t="shared" si="22"/>
        <v>0</v>
      </c>
      <c r="D137" s="131">
        <f t="shared" si="22"/>
        <v>0</v>
      </c>
      <c r="E137" s="131">
        <f t="shared" si="22"/>
        <v>0</v>
      </c>
      <c r="F137" s="131">
        <f t="shared" si="22"/>
        <v>0</v>
      </c>
      <c r="G137" s="131">
        <f t="shared" si="22"/>
        <v>0</v>
      </c>
      <c r="H137" s="131">
        <f t="shared" si="22"/>
        <v>0</v>
      </c>
    </row>
    <row r="138" spans="1:8" ht="14.45" hidden="1" x14ac:dyDescent="0.35">
      <c r="A138" s="70">
        <f t="shared" si="20"/>
        <v>0</v>
      </c>
      <c r="B138" s="131">
        <f t="shared" si="22"/>
        <v>0</v>
      </c>
      <c r="C138" s="131">
        <f t="shared" si="22"/>
        <v>0</v>
      </c>
      <c r="D138" s="131">
        <f t="shared" si="22"/>
        <v>0</v>
      </c>
      <c r="E138" s="131">
        <f t="shared" si="22"/>
        <v>0</v>
      </c>
      <c r="F138" s="131">
        <f t="shared" si="22"/>
        <v>0</v>
      </c>
      <c r="G138" s="131">
        <f t="shared" si="22"/>
        <v>0</v>
      </c>
      <c r="H138" s="131">
        <f t="shared" si="22"/>
        <v>0</v>
      </c>
    </row>
    <row r="139" spans="1:8" ht="14.45" hidden="1" x14ac:dyDescent="0.35">
      <c r="A139" s="70">
        <f t="shared" si="20"/>
        <v>0</v>
      </c>
      <c r="B139" s="131">
        <f t="shared" si="22"/>
        <v>0</v>
      </c>
      <c r="C139" s="131">
        <f t="shared" si="22"/>
        <v>0</v>
      </c>
      <c r="D139" s="131">
        <f t="shared" si="22"/>
        <v>0</v>
      </c>
      <c r="E139" s="131">
        <f t="shared" si="22"/>
        <v>0</v>
      </c>
      <c r="F139" s="131">
        <f t="shared" si="22"/>
        <v>0</v>
      </c>
      <c r="G139" s="131">
        <f t="shared" si="22"/>
        <v>0</v>
      </c>
      <c r="H139" s="131">
        <f t="shared" si="22"/>
        <v>0</v>
      </c>
    </row>
    <row r="140" spans="1:8" ht="14.45" hidden="1" x14ac:dyDescent="0.35">
      <c r="A140" s="70">
        <f t="shared" si="20"/>
        <v>0</v>
      </c>
      <c r="B140" s="131">
        <f t="shared" ref="B140:H141" si="23">B88-(B88*$G$6)</f>
        <v>0</v>
      </c>
      <c r="C140" s="131">
        <f t="shared" si="23"/>
        <v>0</v>
      </c>
      <c r="D140" s="131">
        <f t="shared" si="23"/>
        <v>0</v>
      </c>
      <c r="E140" s="131">
        <f t="shared" si="23"/>
        <v>0</v>
      </c>
      <c r="F140" s="131">
        <f t="shared" si="23"/>
        <v>0</v>
      </c>
      <c r="G140" s="131">
        <f t="shared" si="23"/>
        <v>0</v>
      </c>
      <c r="H140" s="131">
        <f t="shared" si="23"/>
        <v>0</v>
      </c>
    </row>
    <row r="141" spans="1:8" ht="14.45" hidden="1" x14ac:dyDescent="0.35">
      <c r="A141" s="70">
        <f t="shared" si="20"/>
        <v>0</v>
      </c>
      <c r="B141" s="131">
        <f t="shared" si="23"/>
        <v>0</v>
      </c>
      <c r="C141" s="131">
        <f t="shared" si="23"/>
        <v>0</v>
      </c>
      <c r="D141" s="131">
        <f t="shared" si="23"/>
        <v>0</v>
      </c>
      <c r="E141" s="131">
        <f t="shared" si="23"/>
        <v>0</v>
      </c>
      <c r="F141" s="131">
        <f t="shared" si="23"/>
        <v>0</v>
      </c>
      <c r="G141" s="131">
        <f t="shared" si="23"/>
        <v>0</v>
      </c>
      <c r="H141" s="131">
        <f t="shared" si="23"/>
        <v>0</v>
      </c>
    </row>
    <row r="142" spans="1:8" ht="14.45" hidden="1" x14ac:dyDescent="0.35">
      <c r="A142" s="70"/>
      <c r="B142" s="131"/>
      <c r="C142" s="131"/>
      <c r="D142" s="131"/>
      <c r="E142" s="131"/>
      <c r="F142" s="131"/>
      <c r="G142" s="131"/>
      <c r="H142" s="131"/>
    </row>
    <row r="143" spans="1:8" ht="14.45" hidden="1" x14ac:dyDescent="0.35">
      <c r="A143" s="83" t="str">
        <f t="shared" ref="A143:A161" si="24">A91</f>
        <v>Fruit  &amp; Vegetables Crop Production Details</v>
      </c>
      <c r="B143" s="131"/>
      <c r="C143" s="131"/>
      <c r="D143" s="131"/>
      <c r="E143" s="131"/>
      <c r="F143" s="131"/>
      <c r="G143" s="131"/>
      <c r="H143" s="131"/>
    </row>
    <row r="144" spans="1:8" ht="14.45" hidden="1" x14ac:dyDescent="0.35">
      <c r="A144" s="70" t="str">
        <f t="shared" si="24"/>
        <v>Onion</v>
      </c>
      <c r="B144" s="131">
        <f t="shared" ref="B144:H153" si="25">B92-(B92*$G$7)</f>
        <v>0</v>
      </c>
      <c r="C144" s="131">
        <f t="shared" si="25"/>
        <v>0</v>
      </c>
      <c r="D144" s="131">
        <f t="shared" si="25"/>
        <v>0</v>
      </c>
      <c r="E144" s="131">
        <f t="shared" si="25"/>
        <v>0</v>
      </c>
      <c r="F144" s="131">
        <f t="shared" si="25"/>
        <v>0</v>
      </c>
      <c r="G144" s="131">
        <f t="shared" si="25"/>
        <v>0</v>
      </c>
      <c r="H144" s="131">
        <f t="shared" si="25"/>
        <v>0</v>
      </c>
    </row>
    <row r="145" spans="1:8" ht="14.45" hidden="1" x14ac:dyDescent="0.35">
      <c r="A145" s="70" t="str">
        <f t="shared" si="24"/>
        <v>Tomato</v>
      </c>
      <c r="B145" s="131">
        <f t="shared" si="25"/>
        <v>0</v>
      </c>
      <c r="C145" s="131">
        <f t="shared" si="25"/>
        <v>0</v>
      </c>
      <c r="D145" s="131">
        <f t="shared" si="25"/>
        <v>0</v>
      </c>
      <c r="E145" s="131">
        <f t="shared" si="25"/>
        <v>0</v>
      </c>
      <c r="F145" s="131">
        <f t="shared" si="25"/>
        <v>0</v>
      </c>
      <c r="G145" s="131">
        <f t="shared" si="25"/>
        <v>0</v>
      </c>
      <c r="H145" s="131">
        <f t="shared" si="25"/>
        <v>0</v>
      </c>
    </row>
    <row r="146" spans="1:8" ht="14.45" hidden="1" x14ac:dyDescent="0.35">
      <c r="A146" s="70" t="str">
        <f t="shared" si="24"/>
        <v>Okra</v>
      </c>
      <c r="B146" s="131">
        <f t="shared" si="25"/>
        <v>0</v>
      </c>
      <c r="C146" s="131">
        <f t="shared" si="25"/>
        <v>0</v>
      </c>
      <c r="D146" s="131">
        <f t="shared" si="25"/>
        <v>0</v>
      </c>
      <c r="E146" s="131">
        <f t="shared" si="25"/>
        <v>0</v>
      </c>
      <c r="F146" s="131">
        <f t="shared" si="25"/>
        <v>0</v>
      </c>
      <c r="G146" s="131">
        <f t="shared" si="25"/>
        <v>0</v>
      </c>
      <c r="H146" s="131">
        <f t="shared" si="25"/>
        <v>0</v>
      </c>
    </row>
    <row r="147" spans="1:8" ht="14.45" hidden="1" x14ac:dyDescent="0.35">
      <c r="A147" s="70" t="str">
        <f t="shared" si="24"/>
        <v>Chilli</v>
      </c>
      <c r="B147" s="131">
        <f t="shared" si="25"/>
        <v>0</v>
      </c>
      <c r="C147" s="131">
        <f t="shared" si="25"/>
        <v>0</v>
      </c>
      <c r="D147" s="131">
        <f t="shared" si="25"/>
        <v>0</v>
      </c>
      <c r="E147" s="131">
        <f t="shared" si="25"/>
        <v>0</v>
      </c>
      <c r="F147" s="131">
        <f t="shared" si="25"/>
        <v>0</v>
      </c>
      <c r="G147" s="131">
        <f t="shared" si="25"/>
        <v>0</v>
      </c>
      <c r="H147" s="131">
        <f t="shared" si="25"/>
        <v>0</v>
      </c>
    </row>
    <row r="148" spans="1:8" ht="14.45" hidden="1" x14ac:dyDescent="0.35">
      <c r="A148" s="70" t="str">
        <f t="shared" si="24"/>
        <v>Potato</v>
      </c>
      <c r="B148" s="131">
        <f t="shared" si="25"/>
        <v>0</v>
      </c>
      <c r="C148" s="131">
        <f t="shared" si="25"/>
        <v>0</v>
      </c>
      <c r="D148" s="131">
        <f t="shared" si="25"/>
        <v>0</v>
      </c>
      <c r="E148" s="131">
        <f t="shared" si="25"/>
        <v>0</v>
      </c>
      <c r="F148" s="131">
        <f t="shared" si="25"/>
        <v>0</v>
      </c>
      <c r="G148" s="131">
        <f t="shared" si="25"/>
        <v>0</v>
      </c>
      <c r="H148" s="131">
        <f t="shared" si="25"/>
        <v>0</v>
      </c>
    </row>
    <row r="149" spans="1:8" ht="14.45" hidden="1" x14ac:dyDescent="0.35">
      <c r="A149" s="70">
        <f t="shared" si="24"/>
        <v>0</v>
      </c>
      <c r="B149" s="131">
        <f t="shared" si="25"/>
        <v>0</v>
      </c>
      <c r="C149" s="131">
        <f t="shared" si="25"/>
        <v>0</v>
      </c>
      <c r="D149" s="131">
        <f t="shared" si="25"/>
        <v>0</v>
      </c>
      <c r="E149" s="131">
        <f t="shared" si="25"/>
        <v>0</v>
      </c>
      <c r="F149" s="131">
        <f t="shared" si="25"/>
        <v>0</v>
      </c>
      <c r="G149" s="131">
        <f t="shared" si="25"/>
        <v>0</v>
      </c>
      <c r="H149" s="131">
        <f t="shared" si="25"/>
        <v>0</v>
      </c>
    </row>
    <row r="150" spans="1:8" ht="14.45" hidden="1" x14ac:dyDescent="0.35">
      <c r="A150" s="70">
        <f t="shared" si="24"/>
        <v>0</v>
      </c>
      <c r="B150" s="131">
        <f t="shared" si="25"/>
        <v>0</v>
      </c>
      <c r="C150" s="131">
        <f t="shared" si="25"/>
        <v>0</v>
      </c>
      <c r="D150" s="131">
        <f t="shared" si="25"/>
        <v>0</v>
      </c>
      <c r="E150" s="131">
        <f t="shared" si="25"/>
        <v>0</v>
      </c>
      <c r="F150" s="131">
        <f t="shared" si="25"/>
        <v>0</v>
      </c>
      <c r="G150" s="131">
        <f t="shared" si="25"/>
        <v>0</v>
      </c>
      <c r="H150" s="131">
        <f t="shared" si="25"/>
        <v>0</v>
      </c>
    </row>
    <row r="151" spans="1:8" ht="14.45" hidden="1" x14ac:dyDescent="0.35">
      <c r="A151" s="70">
        <f t="shared" si="24"/>
        <v>0</v>
      </c>
      <c r="B151" s="131">
        <f t="shared" si="25"/>
        <v>0</v>
      </c>
      <c r="C151" s="131">
        <f t="shared" si="25"/>
        <v>0</v>
      </c>
      <c r="D151" s="131">
        <f t="shared" si="25"/>
        <v>0</v>
      </c>
      <c r="E151" s="131">
        <f t="shared" si="25"/>
        <v>0</v>
      </c>
      <c r="F151" s="131">
        <f t="shared" si="25"/>
        <v>0</v>
      </c>
      <c r="G151" s="131">
        <f t="shared" si="25"/>
        <v>0</v>
      </c>
      <c r="H151" s="131">
        <f t="shared" si="25"/>
        <v>0</v>
      </c>
    </row>
    <row r="152" spans="1:8" ht="14.45" hidden="1" x14ac:dyDescent="0.35">
      <c r="A152" s="70">
        <f t="shared" si="24"/>
        <v>0</v>
      </c>
      <c r="B152" s="131">
        <f t="shared" si="25"/>
        <v>0</v>
      </c>
      <c r="C152" s="131">
        <f t="shared" si="25"/>
        <v>0</v>
      </c>
      <c r="D152" s="131">
        <f t="shared" si="25"/>
        <v>0</v>
      </c>
      <c r="E152" s="131">
        <f t="shared" si="25"/>
        <v>0</v>
      </c>
      <c r="F152" s="131">
        <f t="shared" si="25"/>
        <v>0</v>
      </c>
      <c r="G152" s="131">
        <f t="shared" si="25"/>
        <v>0</v>
      </c>
      <c r="H152" s="131">
        <f t="shared" si="25"/>
        <v>0</v>
      </c>
    </row>
    <row r="153" spans="1:8" ht="14.45" hidden="1" x14ac:dyDescent="0.35">
      <c r="A153" s="70" t="str">
        <f t="shared" si="24"/>
        <v>Onion</v>
      </c>
      <c r="B153" s="131">
        <f t="shared" si="25"/>
        <v>0</v>
      </c>
      <c r="C153" s="131">
        <f t="shared" si="25"/>
        <v>0</v>
      </c>
      <c r="D153" s="131">
        <f t="shared" si="25"/>
        <v>0</v>
      </c>
      <c r="E153" s="131">
        <f t="shared" si="25"/>
        <v>0</v>
      </c>
      <c r="F153" s="131">
        <f t="shared" si="25"/>
        <v>0</v>
      </c>
      <c r="G153" s="131">
        <f t="shared" si="25"/>
        <v>0</v>
      </c>
      <c r="H153" s="131">
        <f t="shared" si="25"/>
        <v>0</v>
      </c>
    </row>
    <row r="154" spans="1:8" ht="14.45" hidden="1" x14ac:dyDescent="0.35">
      <c r="A154" s="70" t="str">
        <f t="shared" si="24"/>
        <v>Tomato</v>
      </c>
      <c r="B154" s="131">
        <f t="shared" ref="B154:H161" si="26">B102-(B102*$G$7)</f>
        <v>0</v>
      </c>
      <c r="C154" s="131">
        <f t="shared" si="26"/>
        <v>0</v>
      </c>
      <c r="D154" s="131">
        <f t="shared" si="26"/>
        <v>0</v>
      </c>
      <c r="E154" s="131">
        <f t="shared" si="26"/>
        <v>0</v>
      </c>
      <c r="F154" s="131">
        <f t="shared" si="26"/>
        <v>0</v>
      </c>
      <c r="G154" s="131">
        <f t="shared" si="26"/>
        <v>0</v>
      </c>
      <c r="H154" s="131">
        <f t="shared" si="26"/>
        <v>0</v>
      </c>
    </row>
    <row r="155" spans="1:8" ht="14.45" hidden="1" x14ac:dyDescent="0.35">
      <c r="A155" s="70" t="str">
        <f t="shared" si="24"/>
        <v>Okra</v>
      </c>
      <c r="B155" s="131">
        <f t="shared" si="26"/>
        <v>0</v>
      </c>
      <c r="C155" s="131">
        <f t="shared" si="26"/>
        <v>0</v>
      </c>
      <c r="D155" s="131">
        <f t="shared" si="26"/>
        <v>0</v>
      </c>
      <c r="E155" s="131">
        <f t="shared" si="26"/>
        <v>0</v>
      </c>
      <c r="F155" s="131">
        <f t="shared" si="26"/>
        <v>0</v>
      </c>
      <c r="G155" s="131">
        <f t="shared" si="26"/>
        <v>0</v>
      </c>
      <c r="H155" s="131">
        <f t="shared" si="26"/>
        <v>0</v>
      </c>
    </row>
    <row r="156" spans="1:8" ht="14.45" hidden="1" x14ac:dyDescent="0.35">
      <c r="A156" s="70" t="str">
        <f t="shared" si="24"/>
        <v>Chilli</v>
      </c>
      <c r="B156" s="131">
        <f t="shared" si="26"/>
        <v>0</v>
      </c>
      <c r="C156" s="131">
        <f t="shared" si="26"/>
        <v>0</v>
      </c>
      <c r="D156" s="131">
        <f t="shared" si="26"/>
        <v>0</v>
      </c>
      <c r="E156" s="131">
        <f t="shared" si="26"/>
        <v>0</v>
      </c>
      <c r="F156" s="131">
        <f t="shared" si="26"/>
        <v>0</v>
      </c>
      <c r="G156" s="131">
        <f t="shared" si="26"/>
        <v>0</v>
      </c>
      <c r="H156" s="131">
        <f t="shared" si="26"/>
        <v>0</v>
      </c>
    </row>
    <row r="157" spans="1:8" ht="14.45" hidden="1" x14ac:dyDescent="0.35">
      <c r="A157" s="70" t="str">
        <f t="shared" si="24"/>
        <v>Brinjal</v>
      </c>
      <c r="B157" s="131">
        <f t="shared" si="26"/>
        <v>0</v>
      </c>
      <c r="C157" s="131">
        <f t="shared" si="26"/>
        <v>0</v>
      </c>
      <c r="D157" s="131">
        <f t="shared" si="26"/>
        <v>0</v>
      </c>
      <c r="E157" s="131">
        <f t="shared" si="26"/>
        <v>0</v>
      </c>
      <c r="F157" s="131">
        <f t="shared" si="26"/>
        <v>0</v>
      </c>
      <c r="G157" s="131">
        <f t="shared" si="26"/>
        <v>0</v>
      </c>
      <c r="H157" s="131">
        <f t="shared" si="26"/>
        <v>0</v>
      </c>
    </row>
    <row r="158" spans="1:8" ht="14.45" hidden="1" x14ac:dyDescent="0.35">
      <c r="A158" s="70">
        <f t="shared" si="24"/>
        <v>0</v>
      </c>
      <c r="B158" s="131">
        <f t="shared" si="26"/>
        <v>0</v>
      </c>
      <c r="C158" s="131">
        <f t="shared" si="26"/>
        <v>0</v>
      </c>
      <c r="D158" s="131">
        <f t="shared" si="26"/>
        <v>0</v>
      </c>
      <c r="E158" s="131">
        <f t="shared" si="26"/>
        <v>0</v>
      </c>
      <c r="F158" s="131">
        <f t="shared" si="26"/>
        <v>0</v>
      </c>
      <c r="G158" s="131">
        <f t="shared" si="26"/>
        <v>0</v>
      </c>
      <c r="H158" s="131">
        <f t="shared" si="26"/>
        <v>0</v>
      </c>
    </row>
    <row r="159" spans="1:8" ht="14.45" hidden="1" x14ac:dyDescent="0.35">
      <c r="A159" s="70">
        <f t="shared" si="24"/>
        <v>0</v>
      </c>
      <c r="B159" s="131">
        <f t="shared" si="26"/>
        <v>0</v>
      </c>
      <c r="C159" s="131">
        <f t="shared" si="26"/>
        <v>0</v>
      </c>
      <c r="D159" s="131">
        <f t="shared" si="26"/>
        <v>0</v>
      </c>
      <c r="E159" s="131">
        <f t="shared" si="26"/>
        <v>0</v>
      </c>
      <c r="F159" s="131">
        <f t="shared" si="26"/>
        <v>0</v>
      </c>
      <c r="G159" s="131">
        <f t="shared" si="26"/>
        <v>0</v>
      </c>
      <c r="H159" s="131">
        <f t="shared" si="26"/>
        <v>0</v>
      </c>
    </row>
    <row r="160" spans="1:8" ht="14.45" hidden="1" x14ac:dyDescent="0.35">
      <c r="A160" s="70">
        <f t="shared" si="24"/>
        <v>0</v>
      </c>
      <c r="B160" s="131">
        <f t="shared" si="26"/>
        <v>0</v>
      </c>
      <c r="C160" s="131">
        <f t="shared" si="26"/>
        <v>0</v>
      </c>
      <c r="D160" s="131">
        <f t="shared" si="26"/>
        <v>0</v>
      </c>
      <c r="E160" s="131">
        <f t="shared" si="26"/>
        <v>0</v>
      </c>
      <c r="F160" s="131">
        <f t="shared" si="26"/>
        <v>0</v>
      </c>
      <c r="G160" s="131">
        <f t="shared" si="26"/>
        <v>0</v>
      </c>
      <c r="H160" s="131">
        <f t="shared" si="26"/>
        <v>0</v>
      </c>
    </row>
    <row r="161" spans="1:10" ht="14.45" hidden="1" x14ac:dyDescent="0.35">
      <c r="A161" s="70">
        <f t="shared" si="24"/>
        <v>0</v>
      </c>
      <c r="B161" s="131">
        <f t="shared" si="26"/>
        <v>0</v>
      </c>
      <c r="C161" s="131">
        <f t="shared" si="26"/>
        <v>0</v>
      </c>
      <c r="D161" s="131">
        <f t="shared" si="26"/>
        <v>0</v>
      </c>
      <c r="E161" s="131">
        <f t="shared" si="26"/>
        <v>0</v>
      </c>
      <c r="F161" s="131">
        <f t="shared" si="26"/>
        <v>0</v>
      </c>
      <c r="G161" s="131">
        <f t="shared" si="26"/>
        <v>0</v>
      </c>
      <c r="H161" s="131">
        <f t="shared" si="26"/>
        <v>0</v>
      </c>
    </row>
    <row r="162" spans="1:10" ht="14.45" hidden="1" x14ac:dyDescent="0.35">
      <c r="A162" s="70">
        <f t="shared" ref="A162:A165" si="27">A110</f>
        <v>0</v>
      </c>
      <c r="B162" s="131">
        <f t="shared" ref="B162:H162" si="28">B110-(B110*$G$7)</f>
        <v>0</v>
      </c>
      <c r="C162" s="131">
        <f t="shared" si="28"/>
        <v>0</v>
      </c>
      <c r="D162" s="131">
        <f t="shared" si="28"/>
        <v>0</v>
      </c>
      <c r="E162" s="131">
        <f t="shared" si="28"/>
        <v>0</v>
      </c>
      <c r="F162" s="131">
        <f t="shared" si="28"/>
        <v>0</v>
      </c>
      <c r="G162" s="131">
        <f t="shared" si="28"/>
        <v>0</v>
      </c>
      <c r="H162" s="131">
        <f t="shared" si="28"/>
        <v>0</v>
      </c>
    </row>
    <row r="163" spans="1:10" ht="14.45" hidden="1" x14ac:dyDescent="0.35">
      <c r="A163" s="70">
        <f t="shared" si="27"/>
        <v>0</v>
      </c>
      <c r="B163" s="131">
        <f t="shared" ref="B163:H163" si="29">B111-(B111*$G$7)</f>
        <v>0</v>
      </c>
      <c r="C163" s="131">
        <f t="shared" si="29"/>
        <v>0</v>
      </c>
      <c r="D163" s="131">
        <f t="shared" si="29"/>
        <v>0</v>
      </c>
      <c r="E163" s="131">
        <f t="shared" si="29"/>
        <v>0</v>
      </c>
      <c r="F163" s="131">
        <f t="shared" si="29"/>
        <v>0</v>
      </c>
      <c r="G163" s="131">
        <f t="shared" si="29"/>
        <v>0</v>
      </c>
      <c r="H163" s="131">
        <f t="shared" si="29"/>
        <v>0</v>
      </c>
    </row>
    <row r="164" spans="1:10" ht="14.45" hidden="1" x14ac:dyDescent="0.35">
      <c r="A164" s="70">
        <f t="shared" si="27"/>
        <v>0</v>
      </c>
      <c r="B164" s="131">
        <f t="shared" ref="B164:H165" si="30">B112-(B112*$G$7)</f>
        <v>0</v>
      </c>
      <c r="C164" s="131">
        <f t="shared" si="30"/>
        <v>0</v>
      </c>
      <c r="D164" s="131">
        <f t="shared" si="30"/>
        <v>0</v>
      </c>
      <c r="E164" s="131">
        <f t="shared" si="30"/>
        <v>0</v>
      </c>
      <c r="F164" s="131">
        <f t="shared" si="30"/>
        <v>0</v>
      </c>
      <c r="G164" s="131">
        <f t="shared" si="30"/>
        <v>0</v>
      </c>
      <c r="H164" s="131">
        <f t="shared" si="30"/>
        <v>0</v>
      </c>
    </row>
    <row r="165" spans="1:10" ht="14.45" hidden="1" x14ac:dyDescent="0.35">
      <c r="A165" s="70" t="str">
        <f t="shared" si="27"/>
        <v>Pomegranate</v>
      </c>
      <c r="B165" s="131">
        <f t="shared" si="30"/>
        <v>0</v>
      </c>
      <c r="C165" s="131">
        <f t="shared" ref="C165:H168" si="31">C113-(C113*$G$7)</f>
        <v>0</v>
      </c>
      <c r="D165" s="131">
        <f t="shared" si="31"/>
        <v>0</v>
      </c>
      <c r="E165" s="131">
        <f t="shared" si="31"/>
        <v>0</v>
      </c>
      <c r="F165" s="131">
        <f t="shared" si="31"/>
        <v>0</v>
      </c>
      <c r="G165" s="131">
        <f t="shared" si="31"/>
        <v>0</v>
      </c>
      <c r="H165" s="131">
        <f t="shared" si="31"/>
        <v>0</v>
      </c>
    </row>
    <row r="166" spans="1:10" ht="14.45" hidden="1" x14ac:dyDescent="0.35">
      <c r="A166" s="70" t="str">
        <f>A114</f>
        <v>Custard Apple</v>
      </c>
      <c r="B166" s="131">
        <f>B114-(B114*$G$7)</f>
        <v>0</v>
      </c>
      <c r="C166" s="131">
        <f t="shared" si="31"/>
        <v>0</v>
      </c>
      <c r="D166" s="131">
        <f t="shared" si="31"/>
        <v>0</v>
      </c>
      <c r="E166" s="131">
        <f t="shared" si="31"/>
        <v>0</v>
      </c>
      <c r="F166" s="131">
        <f t="shared" si="31"/>
        <v>0</v>
      </c>
      <c r="G166" s="131">
        <f t="shared" si="31"/>
        <v>0</v>
      </c>
      <c r="H166" s="131">
        <f t="shared" si="31"/>
        <v>0</v>
      </c>
    </row>
    <row r="167" spans="1:10" ht="14.45" hidden="1" x14ac:dyDescent="0.35">
      <c r="A167" s="70" t="str">
        <f>A115</f>
        <v>Guava</v>
      </c>
      <c r="B167" s="131">
        <f>B115-(B115*$G$7)</f>
        <v>0</v>
      </c>
      <c r="C167" s="131">
        <f t="shared" si="31"/>
        <v>0</v>
      </c>
      <c r="D167" s="131">
        <f t="shared" si="31"/>
        <v>0</v>
      </c>
      <c r="E167" s="131">
        <f t="shared" si="31"/>
        <v>0</v>
      </c>
      <c r="F167" s="131">
        <f t="shared" si="31"/>
        <v>0</v>
      </c>
      <c r="G167" s="131">
        <f t="shared" si="31"/>
        <v>0</v>
      </c>
      <c r="H167" s="131">
        <f t="shared" si="31"/>
        <v>0</v>
      </c>
    </row>
    <row r="168" spans="1:10" ht="14.45" hidden="1" x14ac:dyDescent="0.35">
      <c r="A168" s="70" t="str">
        <f>A116</f>
        <v>Citrus</v>
      </c>
      <c r="B168" s="131">
        <f>B116-(B116*$G$7)</f>
        <v>0</v>
      </c>
      <c r="C168" s="131">
        <f t="shared" si="31"/>
        <v>0</v>
      </c>
      <c r="D168" s="131">
        <f t="shared" si="31"/>
        <v>0</v>
      </c>
      <c r="E168" s="131">
        <f t="shared" si="31"/>
        <v>0</v>
      </c>
      <c r="F168" s="131">
        <f t="shared" si="31"/>
        <v>0</v>
      </c>
      <c r="G168" s="131">
        <f t="shared" si="31"/>
        <v>0</v>
      </c>
      <c r="H168" s="131">
        <f t="shared" si="31"/>
        <v>0</v>
      </c>
    </row>
    <row r="169" spans="1:10" x14ac:dyDescent="0.25">
      <c r="A169" s="73"/>
    </row>
    <row r="170" spans="1:10" x14ac:dyDescent="0.25">
      <c r="A170" s="427" t="s">
        <v>539</v>
      </c>
      <c r="B170" s="427"/>
      <c r="C170" s="427"/>
      <c r="D170" s="427"/>
      <c r="E170" s="427"/>
      <c r="F170" s="427"/>
      <c r="G170" s="427"/>
      <c r="H170" s="427"/>
      <c r="I170" s="427"/>
      <c r="J170" s="427"/>
    </row>
    <row r="171" spans="1:10" x14ac:dyDescent="0.25">
      <c r="A171" s="132"/>
      <c r="B171" s="132"/>
      <c r="C171" s="132"/>
      <c r="D171" s="132"/>
      <c r="E171" s="132"/>
      <c r="F171" s="132"/>
      <c r="G171" s="132"/>
      <c r="H171" s="132"/>
    </row>
    <row r="172" spans="1:10" x14ac:dyDescent="0.25">
      <c r="A172" s="132"/>
      <c r="B172" s="132"/>
      <c r="C172" s="132"/>
      <c r="D172" s="133">
        <v>1</v>
      </c>
      <c r="E172" s="134">
        <f>(D172*5%)+D172</f>
        <v>1.05</v>
      </c>
      <c r="F172" s="134">
        <f t="shared" ref="F172:J172" si="32">(E172*5%)+E172</f>
        <v>1.1025</v>
      </c>
      <c r="G172" s="134">
        <f t="shared" si="32"/>
        <v>1.1576250000000001</v>
      </c>
      <c r="H172" s="134">
        <f t="shared" si="32"/>
        <v>1.2155062500000002</v>
      </c>
      <c r="I172" s="134">
        <f t="shared" si="32"/>
        <v>1.2762815625000004</v>
      </c>
      <c r="J172" s="134">
        <f t="shared" si="32"/>
        <v>1.3400956406250004</v>
      </c>
    </row>
    <row r="174" spans="1:10" x14ac:dyDescent="0.25">
      <c r="D174" s="74"/>
      <c r="E174" s="74"/>
      <c r="F174" s="74"/>
      <c r="G174" s="74"/>
      <c r="H174" s="74"/>
      <c r="I174" s="74"/>
      <c r="J174" s="74"/>
    </row>
    <row r="175" spans="1:10" x14ac:dyDescent="0.25">
      <c r="A175" s="66" t="s">
        <v>0</v>
      </c>
      <c r="B175" s="66"/>
      <c r="C175" s="66" t="s">
        <v>150</v>
      </c>
      <c r="D175" s="113" t="s">
        <v>2</v>
      </c>
      <c r="E175" s="113" t="s">
        <v>3</v>
      </c>
      <c r="F175" s="113" t="s">
        <v>4</v>
      </c>
      <c r="G175" s="113" t="s">
        <v>5</v>
      </c>
      <c r="H175" s="113" t="s">
        <v>6</v>
      </c>
      <c r="I175" s="113" t="s">
        <v>166</v>
      </c>
      <c r="J175" s="113" t="s">
        <v>165</v>
      </c>
    </row>
    <row r="176" spans="1:10" x14ac:dyDescent="0.25">
      <c r="A176" s="78"/>
      <c r="B176" s="78"/>
      <c r="C176" s="78"/>
      <c r="D176" s="47"/>
      <c r="E176" s="47"/>
      <c r="F176" s="47"/>
      <c r="G176" s="47"/>
      <c r="H176" s="47"/>
      <c r="I176" s="47"/>
      <c r="J176" s="47"/>
    </row>
    <row r="177" spans="1:10" x14ac:dyDescent="0.25">
      <c r="A177" s="78" t="s">
        <v>126</v>
      </c>
      <c r="B177" s="78"/>
      <c r="C177" s="78"/>
      <c r="D177" s="47"/>
      <c r="E177" s="47"/>
      <c r="F177" s="47"/>
      <c r="G177" s="47"/>
      <c r="H177" s="47"/>
      <c r="I177" s="47"/>
      <c r="J177" s="47"/>
    </row>
    <row r="178" spans="1:10" x14ac:dyDescent="0.25">
      <c r="A178" s="47" t="str">
        <f t="shared" ref="A178:A198" si="33">A120</f>
        <v>Maize</v>
      </c>
      <c r="B178" s="47" t="s">
        <v>343</v>
      </c>
      <c r="C178" s="99">
        <v>2000</v>
      </c>
      <c r="D178" s="135">
        <f>(B120*(1-'5.Closing Stock &amp; W Capital'!$D$16))*C$178*D172</f>
        <v>2994695.5500000003</v>
      </c>
      <c r="E178" s="135">
        <f>((C120*(1-'5.Closing Stock &amp; W Capital'!$D$16))+(B120*'5.Closing Stock &amp; W Capital'!$D$16))*$C178*E$172</f>
        <v>3805078.3155000005</v>
      </c>
      <c r="F178" s="135">
        <f>((D120*(1-'5.Closing Stock &amp; W Capital'!$D$16))+(C120*'5.Closing Stock &amp; W Capital'!$D$16))*$C178*F$172</f>
        <v>4662332.6037750002</v>
      </c>
      <c r="G178" s="135">
        <f>((E120*(1-'5.Closing Stock &amp; W Capital'!$D$16))+(D120*'5.Closing Stock &amp; W Capital'!$D$16))*$C178*G$172</f>
        <v>5595799.6250887513</v>
      </c>
      <c r="H178" s="135">
        <f>((F120*(1-'5.Closing Stock &amp; W Capital'!$D$16))+(E120*'5.Closing Stock &amp; W Capital'!$D$16))*$C178*H$172</f>
        <v>6610957.5170244379</v>
      </c>
      <c r="I178" s="135">
        <f>((G120*(1-'5.Closing Stock &amp; W Capital'!$D$16))+(F120*'5.Closing Stock &amp; W Capital'!$D$16))*$C178*I$172</f>
        <v>7713641.6990909744</v>
      </c>
      <c r="J178" s="135">
        <f>((H120*(1-'5.Closing Stock &amp; W Capital'!$D$16))+(G120*'5.Closing Stock &amp; W Capital'!$D$16))*$C178*J$172</f>
        <v>8910066.9055715986</v>
      </c>
    </row>
    <row r="179" spans="1:10" x14ac:dyDescent="0.25">
      <c r="A179" s="47" t="str">
        <f t="shared" si="33"/>
        <v>Red Gram/Tur</v>
      </c>
      <c r="B179" s="47" t="s">
        <v>343</v>
      </c>
      <c r="C179" s="99">
        <v>6000</v>
      </c>
      <c r="D179" s="135">
        <f>(B121*(1-'5.Closing Stock &amp; W Capital'!$D$16))*$C179*D$172</f>
        <v>4791512.8800000008</v>
      </c>
      <c r="E179" s="135">
        <f>((C121*(1-'5.Closing Stock &amp; W Capital'!$D$16))+(B121*'5.Closing Stock &amp; W Capital'!$D$16))*$C179*E$172</f>
        <v>6088125.304800001</v>
      </c>
      <c r="F179" s="135">
        <f>((D121*(1-'5.Closing Stock &amp; W Capital'!$D$16))+(C121*'5.Closing Stock &amp; W Capital'!$D$16))*$C179*F$172</f>
        <v>7459732.1660399996</v>
      </c>
      <c r="G179" s="135">
        <f>((E121*(1-'5.Closing Stock &amp; W Capital'!$D$16))+(D121*'5.Closing Stock &amp; W Capital'!$D$16))*$C179*G$172</f>
        <v>8953279.4001420029</v>
      </c>
      <c r="H179" s="135">
        <f>((F121*(1-'5.Closing Stock &amp; W Capital'!$D$16))+(E121*'5.Closing Stock &amp; W Capital'!$D$16))*$C179*H$172</f>
        <v>10577532.027239103</v>
      </c>
      <c r="I179" s="135">
        <f>((G121*(1-'5.Closing Stock &amp; W Capital'!$D$16))+(F121*'5.Closing Stock &amp; W Capital'!$D$16))*$C179*I$172</f>
        <v>12341826.71854556</v>
      </c>
      <c r="J179" s="135">
        <f>((H121*(1-'5.Closing Stock &amp; W Capital'!$D$16))+(G121*'5.Closing Stock &amp; W Capital'!$D$16))*$C179*J$172</f>
        <v>14256107.048914565</v>
      </c>
    </row>
    <row r="180" spans="1:10" x14ac:dyDescent="0.25">
      <c r="A180" s="47" t="str">
        <f t="shared" si="33"/>
        <v>Bajra</v>
      </c>
      <c r="B180" s="47" t="s">
        <v>343</v>
      </c>
      <c r="C180" s="99">
        <v>2000</v>
      </c>
      <c r="D180" s="135">
        <f>(B122*(1-'5.Closing Stock &amp; W Capital'!$D$16))*$C180*D$172</f>
        <v>790518.96000000008</v>
      </c>
      <c r="E180" s="135">
        <f>((C122*(1-'5.Closing Stock &amp; W Capital'!$D$16))+(B122*'5.Closing Stock &amp; W Capital'!$D$16))*$C180*E$172</f>
        <v>1004438.1816</v>
      </c>
      <c r="F180" s="135">
        <f>((D122*(1-'5.Closing Stock &amp; W Capital'!$D$16))+(C122*'5.Closing Stock &amp; W Capital'!$D$16))*$C180*F$172</f>
        <v>1230730.2226800006</v>
      </c>
      <c r="G180" s="135">
        <f>((E122*(1-'5.Closing Stock &amp; W Capital'!$D$16))+(D122*'5.Closing Stock &amp; W Capital'!$D$16))*$C180*G$172</f>
        <v>1477140.3724140003</v>
      </c>
      <c r="H180" s="135">
        <f>((F122*(1-'5.Closing Stock &amp; W Capital'!$D$16))+(E122*'5.Closing Stock &amp; W Capital'!$D$16))*$C180*H$172</f>
        <v>1745114.7115647004</v>
      </c>
      <c r="I180" s="135">
        <f>((G122*(1-'5.Closing Stock &amp; W Capital'!$D$16))+(F122*'5.Closing Stock &amp; W Capital'!$D$16))*$C180*I$172</f>
        <v>2036193.6336994353</v>
      </c>
      <c r="J180" s="135">
        <f>((H122*(1-'5.Closing Stock &amp; W Capital'!$D$16))+(G122*'5.Closing Stock &amp; W Capital'!$D$16))*$C180*J$172</f>
        <v>2352017.6612687325</v>
      </c>
    </row>
    <row r="181" spans="1:10" ht="14.45" hidden="1" x14ac:dyDescent="0.35">
      <c r="A181" s="47">
        <f t="shared" si="33"/>
        <v>0</v>
      </c>
      <c r="B181" s="47" t="s">
        <v>343</v>
      </c>
      <c r="C181" s="99"/>
      <c r="D181" s="135">
        <f>(B123*(1-'5.Closing Stock &amp; W Capital'!$D$16))*$C181*D$172</f>
        <v>0</v>
      </c>
      <c r="E181" s="135">
        <f>((C123*(1-'5.Closing Stock &amp; W Capital'!$D$16))+(B123*'5.Closing Stock &amp; W Capital'!$D$16))*$C181*E$172</f>
        <v>0</v>
      </c>
      <c r="F181" s="135">
        <f>((D123*(1-'5.Closing Stock &amp; W Capital'!$D$16))+(C123*'5.Closing Stock &amp; W Capital'!$D$16))*$C181*F$172</f>
        <v>0</v>
      </c>
      <c r="G181" s="135">
        <f>((E123*(1-'5.Closing Stock &amp; W Capital'!$D$16))+(D123*'5.Closing Stock &amp; W Capital'!$D$16))*$C181*G$172</f>
        <v>0</v>
      </c>
      <c r="H181" s="135">
        <f>((F123*(1-'5.Closing Stock &amp; W Capital'!$D$16))+(E123*'5.Closing Stock &amp; W Capital'!$D$16))*$C181*H$172</f>
        <v>0</v>
      </c>
      <c r="I181" s="135">
        <f>((G123*(1-'5.Closing Stock &amp; W Capital'!$D$16))+(F123*'5.Closing Stock &amp; W Capital'!$D$16))*$C181*I$172</f>
        <v>0</v>
      </c>
      <c r="J181" s="135">
        <f>((H123*(1-'5.Closing Stock &amp; W Capital'!$D$16))+(G123*'5.Closing Stock &amp; W Capital'!$D$16))*$C181*J$172</f>
        <v>0</v>
      </c>
    </row>
    <row r="182" spans="1:10" ht="14.45" hidden="1" x14ac:dyDescent="0.35">
      <c r="A182" s="47">
        <f t="shared" si="33"/>
        <v>0</v>
      </c>
      <c r="B182" s="47" t="s">
        <v>343</v>
      </c>
      <c r="C182" s="99"/>
      <c r="D182" s="135">
        <f>(B124*(1-'5.Closing Stock &amp; W Capital'!$D$16))*$C182*D$172</f>
        <v>0</v>
      </c>
      <c r="E182" s="135">
        <f>((C124*(1-'5.Closing Stock &amp; W Capital'!$D$16))+(B124*'5.Closing Stock &amp; W Capital'!$D$16))*$C182*E$172</f>
        <v>0</v>
      </c>
      <c r="F182" s="135">
        <f>((D124*(1-'5.Closing Stock &amp; W Capital'!$D$16))+(C124*'5.Closing Stock &amp; W Capital'!$D$16))*$C182*F$172</f>
        <v>0</v>
      </c>
      <c r="G182" s="135">
        <f>((E124*(1-'5.Closing Stock &amp; W Capital'!$D$16))+(D124*'5.Closing Stock &amp; W Capital'!$D$16))*$C182*G$172</f>
        <v>0</v>
      </c>
      <c r="H182" s="135">
        <f>((F124*(1-'5.Closing Stock &amp; W Capital'!$D$16))+(E124*'5.Closing Stock &amp; W Capital'!$D$16))*$C182*H$172</f>
        <v>0</v>
      </c>
      <c r="I182" s="135">
        <f>((G124*(1-'5.Closing Stock &amp; W Capital'!$D$16))+(F124*'5.Closing Stock &amp; W Capital'!$D$16))*$C182*I$172</f>
        <v>0</v>
      </c>
      <c r="J182" s="135">
        <f>((H124*(1-'5.Closing Stock &amp; W Capital'!$D$16))+(G124*'5.Closing Stock &amp; W Capital'!$D$16))*$C182*J$172</f>
        <v>0</v>
      </c>
    </row>
    <row r="183" spans="1:10" ht="14.45" hidden="1" x14ac:dyDescent="0.35">
      <c r="A183" s="47">
        <f t="shared" si="33"/>
        <v>0</v>
      </c>
      <c r="B183" s="47" t="s">
        <v>343</v>
      </c>
      <c r="C183" s="99"/>
      <c r="D183" s="135">
        <f>(B125*(1-'5.Closing Stock &amp; W Capital'!$D$16))*$C183*D$172</f>
        <v>0</v>
      </c>
      <c r="E183" s="135">
        <f>((C125*(1-'5.Closing Stock &amp; W Capital'!$D$16))+(B125*'5.Closing Stock &amp; W Capital'!$D$16))*$C183*E$172</f>
        <v>0</v>
      </c>
      <c r="F183" s="135">
        <f>((D125*(1-'5.Closing Stock &amp; W Capital'!$D$16))+(C125*'5.Closing Stock &amp; W Capital'!$D$16))*$C183*F$172</f>
        <v>0</v>
      </c>
      <c r="G183" s="135">
        <f>((E125*(1-'5.Closing Stock &amp; W Capital'!$D$16))+(D125*'5.Closing Stock &amp; W Capital'!$D$16))*$C183*G$172</f>
        <v>0</v>
      </c>
      <c r="H183" s="135">
        <f>((F125*(1-'5.Closing Stock &amp; W Capital'!$D$16))+(E125*'5.Closing Stock &amp; W Capital'!$D$16))*$C183*H$172</f>
        <v>0</v>
      </c>
      <c r="I183" s="135">
        <f>((G125*(1-'5.Closing Stock &amp; W Capital'!$D$16))+(F125*'5.Closing Stock &amp; W Capital'!$D$16))*$C183*I$172</f>
        <v>0</v>
      </c>
      <c r="J183" s="135">
        <f>((H125*(1-'5.Closing Stock &amp; W Capital'!$D$16))+(G125*'5.Closing Stock &amp; W Capital'!$D$16))*$C183*J$172</f>
        <v>0</v>
      </c>
    </row>
    <row r="184" spans="1:10" ht="14.45" hidden="1" x14ac:dyDescent="0.35">
      <c r="A184" s="47">
        <f t="shared" si="33"/>
        <v>0</v>
      </c>
      <c r="B184" s="47" t="s">
        <v>343</v>
      </c>
      <c r="C184" s="99"/>
      <c r="D184" s="135">
        <f>(B126*(1-'5.Closing Stock &amp; W Capital'!$D$16))*$C184*D$172</f>
        <v>0</v>
      </c>
      <c r="E184" s="135">
        <f>((C126*(1-'5.Closing Stock &amp; W Capital'!$D$16))+(B126*'5.Closing Stock &amp; W Capital'!$D$16))*$C184*E$172</f>
        <v>0</v>
      </c>
      <c r="F184" s="135">
        <f>((D126*(1-'5.Closing Stock &amp; W Capital'!$D$16))+(C126*'5.Closing Stock &amp; W Capital'!$D$16))*$C184*F$172</f>
        <v>0</v>
      </c>
      <c r="G184" s="135">
        <f>((E126*(1-'5.Closing Stock &amp; W Capital'!$D$16))+(D126*'5.Closing Stock &amp; W Capital'!$D$16))*$C184*G$172</f>
        <v>0</v>
      </c>
      <c r="H184" s="135">
        <f>((F126*(1-'5.Closing Stock &amp; W Capital'!$D$16))+(E126*'5.Closing Stock &amp; W Capital'!$D$16))*$C184*H$172</f>
        <v>0</v>
      </c>
      <c r="I184" s="135">
        <f>((G126*(1-'5.Closing Stock &amp; W Capital'!$D$16))+(F126*'5.Closing Stock &amp; W Capital'!$D$16))*$C184*I$172</f>
        <v>0</v>
      </c>
      <c r="J184" s="135">
        <f>((H126*(1-'5.Closing Stock &amp; W Capital'!$D$16))+(G126*'5.Closing Stock &amp; W Capital'!$D$16))*$C184*J$172</f>
        <v>0</v>
      </c>
    </row>
    <row r="185" spans="1:10" ht="14.45" hidden="1" x14ac:dyDescent="0.35">
      <c r="A185" s="47">
        <f t="shared" si="33"/>
        <v>0</v>
      </c>
      <c r="B185" s="47" t="s">
        <v>343</v>
      </c>
      <c r="C185" s="99"/>
      <c r="D185" s="135">
        <f>(B127*(1-'5.Closing Stock &amp; W Capital'!$D$16))*$C185*D$172</f>
        <v>0</v>
      </c>
      <c r="E185" s="135">
        <f>((C127*(1-'5.Closing Stock &amp; W Capital'!$D$16))+(B127*'5.Closing Stock &amp; W Capital'!$D$16))*$C185*E$172</f>
        <v>0</v>
      </c>
      <c r="F185" s="135">
        <f>((D127*(1-'5.Closing Stock &amp; W Capital'!$D$16))+(C127*'5.Closing Stock &amp; W Capital'!$D$16))*$C185*F$172</f>
        <v>0</v>
      </c>
      <c r="G185" s="135">
        <f>((E127*(1-'5.Closing Stock &amp; W Capital'!$D$16))+(D127*'5.Closing Stock &amp; W Capital'!$D$16))*$C185*G$172</f>
        <v>0</v>
      </c>
      <c r="H185" s="135">
        <f>((F127*(1-'5.Closing Stock &amp; W Capital'!$D$16))+(E127*'5.Closing Stock &amp; W Capital'!$D$16))*$C185*H$172</f>
        <v>0</v>
      </c>
      <c r="I185" s="135">
        <f>((G127*(1-'5.Closing Stock &amp; W Capital'!$D$16))+(F127*'5.Closing Stock &amp; W Capital'!$D$16))*$C185*I$172</f>
        <v>0</v>
      </c>
      <c r="J185" s="135">
        <f>((H127*(1-'5.Closing Stock &amp; W Capital'!$D$16))+(G127*'5.Closing Stock &amp; W Capital'!$D$16))*$C185*J$172</f>
        <v>0</v>
      </c>
    </row>
    <row r="186" spans="1:10" ht="14.45" hidden="1" x14ac:dyDescent="0.35">
      <c r="A186" s="47">
        <f t="shared" si="33"/>
        <v>0</v>
      </c>
      <c r="B186" s="47" t="s">
        <v>343</v>
      </c>
      <c r="C186" s="99"/>
      <c r="D186" s="135">
        <f>(B128*(1-'5.Closing Stock &amp; W Capital'!$D$16))*$C186*D$172</f>
        <v>0</v>
      </c>
      <c r="E186" s="135">
        <f>((C128*(1-'5.Closing Stock &amp; W Capital'!$D$16))+(B128*'5.Closing Stock &amp; W Capital'!$D$16))*$C186*E$172</f>
        <v>0</v>
      </c>
      <c r="F186" s="135">
        <f>((D128*(1-'5.Closing Stock &amp; W Capital'!$D$16))+(C128*'5.Closing Stock &amp; W Capital'!$D$16))*$C186*F$172</f>
        <v>0</v>
      </c>
      <c r="G186" s="135">
        <f>((E128*(1-'5.Closing Stock &amp; W Capital'!$D$16))+(D128*'5.Closing Stock &amp; W Capital'!$D$16))*$C186*G$172</f>
        <v>0</v>
      </c>
      <c r="H186" s="135">
        <f>((F128*(1-'5.Closing Stock &amp; W Capital'!$D$16))+(E128*'5.Closing Stock &amp; W Capital'!$D$16))*$C186*H$172</f>
        <v>0</v>
      </c>
      <c r="I186" s="135">
        <f>((G128*(1-'5.Closing Stock &amp; W Capital'!$D$16))+(F128*'5.Closing Stock &amp; W Capital'!$D$16))*$C186*I$172</f>
        <v>0</v>
      </c>
      <c r="J186" s="135">
        <f>((H128*(1-'5.Closing Stock &amp; W Capital'!$D$16))+(G128*'5.Closing Stock &amp; W Capital'!$D$16))*$C186*J$172</f>
        <v>0</v>
      </c>
    </row>
    <row r="187" spans="1:10" x14ac:dyDescent="0.25">
      <c r="A187" s="47" t="str">
        <f t="shared" si="33"/>
        <v>Wheat</v>
      </c>
      <c r="B187" s="47" t="s">
        <v>343</v>
      </c>
      <c r="C187" s="99">
        <v>2500</v>
      </c>
      <c r="D187" s="135">
        <f>(B129*(1-'5.Closing Stock &amp; W Capital'!$D$16))*$C187*D$172</f>
        <v>1185778.4400000002</v>
      </c>
      <c r="E187" s="135">
        <f>((C129*(1-'5.Closing Stock &amp; W Capital'!$D$16))+(B129*'5.Closing Stock &amp; W Capital'!$D$16))*$C187*E$172</f>
        <v>1506657.2724000004</v>
      </c>
      <c r="F187" s="135">
        <f>((D129*(1-'5.Closing Stock &amp; W Capital'!$D$16))+(C129*'5.Closing Stock &amp; W Capital'!$D$16))*$C187*F$172</f>
        <v>1846095.3340200004</v>
      </c>
      <c r="G187" s="135">
        <f>((E129*(1-'5.Closing Stock &amp; W Capital'!$D$16))+(D129*'5.Closing Stock &amp; W Capital'!$D$16))*$C187*G$172</f>
        <v>2215710.5586210005</v>
      </c>
      <c r="H187" s="135">
        <f>((F129*(1-'5.Closing Stock &amp; W Capital'!$D$16))+(E129*'5.Closing Stock &amp; W Capital'!$D$16))*$C187*H$172</f>
        <v>2617672.0673470506</v>
      </c>
      <c r="I187" s="135">
        <f>((G129*(1-'5.Closing Stock &amp; W Capital'!$D$16))+(F129*'5.Closing Stock &amp; W Capital'!$D$16))*$C187*I$172</f>
        <v>3054290.4505491531</v>
      </c>
      <c r="J187" s="135">
        <f>((H129*(1-'5.Closing Stock &amp; W Capital'!$D$16))+(G129*'5.Closing Stock &amp; W Capital'!$D$16))*$C187*J$172</f>
        <v>3528026.4919031002</v>
      </c>
    </row>
    <row r="188" spans="1:10" x14ac:dyDescent="0.25">
      <c r="A188" s="47" t="str">
        <f t="shared" si="33"/>
        <v>Bengal Gram/Channa</v>
      </c>
      <c r="B188" s="47" t="s">
        <v>343</v>
      </c>
      <c r="C188" s="99">
        <v>5000</v>
      </c>
      <c r="D188" s="135">
        <f>(B130*(1-'5.Closing Stock &amp; W Capital'!$D$16))*$C188*D$172</f>
        <v>4472078.6880000001</v>
      </c>
      <c r="E188" s="135">
        <f>((C130*(1-'5.Closing Stock &amp; W Capital'!$D$16))+(B130*'5.Closing Stock &amp; W Capital'!$D$16))*$C188*E$172</f>
        <v>5682250.2844800018</v>
      </c>
      <c r="F188" s="135">
        <f>((D130*(1-'5.Closing Stock &amp; W Capital'!$D$16))+(C130*'5.Closing Stock &amp; W Capital'!$D$16))*$C188*F$172</f>
        <v>6962416.6883040005</v>
      </c>
      <c r="G188" s="135">
        <f>((E130*(1-'5.Closing Stock &amp; W Capital'!$D$16))+(D130*'5.Closing Stock &amp; W Capital'!$D$16))*$C188*G$172</f>
        <v>8356394.106799202</v>
      </c>
      <c r="H188" s="135">
        <f>((F130*(1-'5.Closing Stock &amp; W Capital'!$D$16))+(E130*'5.Closing Stock &amp; W Capital'!$D$16))*$C188*H$172</f>
        <v>9872363.2254231609</v>
      </c>
      <c r="I188" s="135">
        <f>((G130*(1-'5.Closing Stock &amp; W Capital'!$D$16))+(F130*'5.Closing Stock &amp; W Capital'!$D$16))*$C188*I$172</f>
        <v>11519038.270642519</v>
      </c>
      <c r="J188" s="135">
        <f>((H130*(1-'5.Closing Stock &amp; W Capital'!$D$16))+(G130*'5.Closing Stock &amp; W Capital'!$D$16))*$C188*J$172</f>
        <v>13305699.912320254</v>
      </c>
    </row>
    <row r="189" spans="1:10" x14ac:dyDescent="0.25">
      <c r="A189" s="47" t="str">
        <f t="shared" si="33"/>
        <v>Jawar</v>
      </c>
      <c r="B189" s="47" t="s">
        <v>343</v>
      </c>
      <c r="C189" s="99">
        <v>3000</v>
      </c>
      <c r="D189" s="135">
        <f>(B131*(1-'5.Closing Stock &amp; W Capital'!$D$16))*$C189*D$172</f>
        <v>1422934.1280000003</v>
      </c>
      <c r="E189" s="135">
        <f>((C131*(1-'5.Closing Stock &amp; W Capital'!$D$16))+(B131*'5.Closing Stock &amp; W Capital'!$D$16))*$C189*E$172</f>
        <v>1807988.7268800004</v>
      </c>
      <c r="F189" s="135">
        <f>((D131*(1-'5.Closing Stock &amp; W Capital'!$D$16))+(C131*'5.Closing Stock &amp; W Capital'!$D$16))*$C189*F$172</f>
        <v>2215314.4008240001</v>
      </c>
      <c r="G189" s="135">
        <f>((E131*(1-'5.Closing Stock &amp; W Capital'!$D$16))+(D131*'5.Closing Stock &amp; W Capital'!$D$16))*$C189*G$172</f>
        <v>2658852.6703452007</v>
      </c>
      <c r="H189" s="135">
        <f>((F131*(1-'5.Closing Stock &amp; W Capital'!$D$16))+(E131*'5.Closing Stock &amp; W Capital'!$D$16))*$C189*H$172</f>
        <v>3141206.4808164611</v>
      </c>
      <c r="I189" s="135">
        <f>((G131*(1-'5.Closing Stock &amp; W Capital'!$D$16))+(F131*'5.Closing Stock &amp; W Capital'!$D$16))*$C189*I$172</f>
        <v>3665148.5406589839</v>
      </c>
      <c r="J189" s="135">
        <f>((H131*(1-'5.Closing Stock &amp; W Capital'!$D$16))+(G131*'5.Closing Stock &amp; W Capital'!$D$16))*$C189*J$172</f>
        <v>4233631.79028372</v>
      </c>
    </row>
    <row r="190" spans="1:10" x14ac:dyDescent="0.25">
      <c r="A190" s="47" t="str">
        <f t="shared" si="33"/>
        <v>Maize</v>
      </c>
      <c r="B190" s="47" t="s">
        <v>343</v>
      </c>
      <c r="C190" s="99">
        <v>2000</v>
      </c>
      <c r="D190" s="135">
        <f>(B132*(1-'5.Closing Stock &amp; W Capital'!$D$16))*$C190*D$172</f>
        <v>1916605.1520000002</v>
      </c>
      <c r="E190" s="135">
        <f>((C132*(1-'5.Closing Stock &amp; W Capital'!$D$16))+(B132*'5.Closing Stock &amp; W Capital'!$D$16))*$C190*E$172</f>
        <v>2435250.1219200003</v>
      </c>
      <c r="F190" s="135">
        <f>((D132*(1-'5.Closing Stock &amp; W Capital'!$D$16))+(C132*'5.Closing Stock &amp; W Capital'!$D$16))*$C190*F$172</f>
        <v>2983892.8664160003</v>
      </c>
      <c r="G190" s="135">
        <f>((E132*(1-'5.Closing Stock &amp; W Capital'!$D$16))+(D132*'5.Closing Stock &amp; W Capital'!$D$16))*$C190*G$172</f>
        <v>3581311.7600568011</v>
      </c>
      <c r="H190" s="135">
        <f>((F132*(1-'5.Closing Stock &amp; W Capital'!$D$16))+(E132*'5.Closing Stock &amp; W Capital'!$D$16))*$C190*H$172</f>
        <v>4231012.8108956413</v>
      </c>
      <c r="I190" s="135">
        <f>((G132*(1-'5.Closing Stock &amp; W Capital'!$D$16))+(F132*'5.Closing Stock &amp; W Capital'!$D$16))*$C190*I$172</f>
        <v>4936730.6874182234</v>
      </c>
      <c r="J190" s="135">
        <f>((H132*(1-'5.Closing Stock &amp; W Capital'!$D$16))+(G132*'5.Closing Stock &amp; W Capital'!$D$16))*$C190*J$172</f>
        <v>5702442.8195658252</v>
      </c>
    </row>
    <row r="191" spans="1:10" ht="14.45" hidden="1" x14ac:dyDescent="0.35">
      <c r="A191" s="47">
        <f t="shared" si="33"/>
        <v>0</v>
      </c>
      <c r="B191" s="47" t="s">
        <v>343</v>
      </c>
      <c r="C191" s="99"/>
      <c r="D191" s="135">
        <f>(B133*(1-'5.Closing Stock &amp; W Capital'!$D$16))*$C191*D$172</f>
        <v>0</v>
      </c>
      <c r="E191" s="135">
        <f>((C133*(1-'5.Closing Stock &amp; W Capital'!$D$16))+(B133*'5.Closing Stock &amp; W Capital'!$D$16))*$C191*E$172</f>
        <v>0</v>
      </c>
      <c r="F191" s="135">
        <f>((D133*(1-'5.Closing Stock &amp; W Capital'!$D$16))+(C133*'5.Closing Stock &amp; W Capital'!$D$16))*$C191*F$172</f>
        <v>0</v>
      </c>
      <c r="G191" s="135">
        <f>((E133*(1-'5.Closing Stock &amp; W Capital'!$D$16))+(D133*'5.Closing Stock &amp; W Capital'!$D$16))*$C191*G$172</f>
        <v>0</v>
      </c>
      <c r="H191" s="135">
        <f>((F133*(1-'5.Closing Stock &amp; W Capital'!$D$16))+(E133*'5.Closing Stock &amp; W Capital'!$D$16))*$C191*H$172</f>
        <v>0</v>
      </c>
      <c r="I191" s="135">
        <f>((G133*(1-'5.Closing Stock &amp; W Capital'!$D$16))+(F133*'5.Closing Stock &amp; W Capital'!$D$16))*$C191*I$172</f>
        <v>0</v>
      </c>
      <c r="J191" s="135">
        <f>((H133*(1-'5.Closing Stock &amp; W Capital'!$D$16))+(G133*'5.Closing Stock &amp; W Capital'!$D$16))*$C191*J$172</f>
        <v>0</v>
      </c>
    </row>
    <row r="192" spans="1:10" ht="14.45" hidden="1" x14ac:dyDescent="0.35">
      <c r="A192" s="47">
        <f t="shared" si="33"/>
        <v>0</v>
      </c>
      <c r="B192" s="47" t="s">
        <v>343</v>
      </c>
      <c r="C192" s="99"/>
      <c r="D192" s="135">
        <f>(B134*(1-'5.Closing Stock &amp; W Capital'!$D$16))*$C192*D$172</f>
        <v>0</v>
      </c>
      <c r="E192" s="135">
        <f>((C134*(1-'5.Closing Stock &amp; W Capital'!$D$16))+(B134*'5.Closing Stock &amp; W Capital'!$D$16))*$C192*E$172</f>
        <v>0</v>
      </c>
      <c r="F192" s="135">
        <f>((D134*(1-'5.Closing Stock &amp; W Capital'!$D$16))+(C134*'5.Closing Stock &amp; W Capital'!$D$16))*$C192*F$172</f>
        <v>0</v>
      </c>
      <c r="G192" s="135">
        <f>((E134*(1-'5.Closing Stock &amp; W Capital'!$D$16))+(D134*'5.Closing Stock &amp; W Capital'!$D$16))*$C192*G$172</f>
        <v>0</v>
      </c>
      <c r="H192" s="135">
        <f>((F134*(1-'5.Closing Stock &amp; W Capital'!$D$16))+(E134*'5.Closing Stock &amp; W Capital'!$D$16))*$C192*H$172</f>
        <v>0</v>
      </c>
      <c r="I192" s="135">
        <f>((G134*(1-'5.Closing Stock &amp; W Capital'!$D$16))+(F134*'5.Closing Stock &amp; W Capital'!$D$16))*$C192*I$172</f>
        <v>0</v>
      </c>
      <c r="J192" s="135">
        <f>((H134*(1-'5.Closing Stock &amp; W Capital'!$D$16))+(G134*'5.Closing Stock &amp; W Capital'!$D$16))*$C192*J$172</f>
        <v>0</v>
      </c>
    </row>
    <row r="193" spans="1:10" ht="14.45" hidden="1" x14ac:dyDescent="0.35">
      <c r="A193" s="47">
        <f t="shared" si="33"/>
        <v>0</v>
      </c>
      <c r="B193" s="47" t="s">
        <v>343</v>
      </c>
      <c r="C193" s="99"/>
      <c r="D193" s="135">
        <f>(B135*(1-'5.Closing Stock &amp; W Capital'!$D$16))*$C193*D$172</f>
        <v>0</v>
      </c>
      <c r="E193" s="135">
        <f>((C135*(1-'5.Closing Stock &amp; W Capital'!$D$16))+(B135*'5.Closing Stock &amp; W Capital'!$D$16))*$C193*E$172</f>
        <v>0</v>
      </c>
      <c r="F193" s="135">
        <f>((D135*(1-'5.Closing Stock &amp; W Capital'!$D$16))+(C135*'5.Closing Stock &amp; W Capital'!$D$16))*$C193*F$172</f>
        <v>0</v>
      </c>
      <c r="G193" s="135">
        <f>((E135*(1-'5.Closing Stock &amp; W Capital'!$D$16))+(D135*'5.Closing Stock &amp; W Capital'!$D$16))*$C193*G$172</f>
        <v>0</v>
      </c>
      <c r="H193" s="135">
        <f>((F135*(1-'5.Closing Stock &amp; W Capital'!$D$16))+(E135*'5.Closing Stock &amp; W Capital'!$D$16))*$C193*H$172</f>
        <v>0</v>
      </c>
      <c r="I193" s="135">
        <f>((G135*(1-'5.Closing Stock &amp; W Capital'!$D$16))+(F135*'5.Closing Stock &amp; W Capital'!$D$16))*$C193*I$172</f>
        <v>0</v>
      </c>
      <c r="J193" s="135">
        <f>((H135*(1-'5.Closing Stock &amp; W Capital'!$D$16))+(G135*'5.Closing Stock &amp; W Capital'!$D$16))*$C193*J$172</f>
        <v>0</v>
      </c>
    </row>
    <row r="194" spans="1:10" ht="14.45" hidden="1" x14ac:dyDescent="0.35">
      <c r="A194" s="47">
        <f t="shared" si="33"/>
        <v>0</v>
      </c>
      <c r="B194" s="47" t="s">
        <v>343</v>
      </c>
      <c r="C194" s="99"/>
      <c r="D194" s="135">
        <f>(B136*(1-'5.Closing Stock &amp; W Capital'!$D$16))*$C194*D$172</f>
        <v>0</v>
      </c>
      <c r="E194" s="135">
        <f>((C136*(1-'5.Closing Stock &amp; W Capital'!$D$16))+(B136*'5.Closing Stock &amp; W Capital'!$D$16))*$C194*E$172</f>
        <v>0</v>
      </c>
      <c r="F194" s="135">
        <f>((D136*(1-'5.Closing Stock &amp; W Capital'!$D$16))+(C136*'5.Closing Stock &amp; W Capital'!$D$16))*$C194*F$172</f>
        <v>0</v>
      </c>
      <c r="G194" s="135">
        <f>((E136*(1-'5.Closing Stock &amp; W Capital'!$D$16))+(D136*'5.Closing Stock &amp; W Capital'!$D$16))*$C194*G$172</f>
        <v>0</v>
      </c>
      <c r="H194" s="135">
        <f>((F136*(1-'5.Closing Stock &amp; W Capital'!$D$16))+(E136*'5.Closing Stock &amp; W Capital'!$D$16))*$C194*H$172</f>
        <v>0</v>
      </c>
      <c r="I194" s="135">
        <f>((G136*(1-'5.Closing Stock &amp; W Capital'!$D$16))+(F136*'5.Closing Stock &amp; W Capital'!$D$16))*$C194*I$172</f>
        <v>0</v>
      </c>
      <c r="J194" s="135">
        <f>((H136*(1-'5.Closing Stock &amp; W Capital'!$D$16))+(G136*'5.Closing Stock &amp; W Capital'!$D$16))*$C194*J$172</f>
        <v>0</v>
      </c>
    </row>
    <row r="195" spans="1:10" ht="14.45" hidden="1" x14ac:dyDescent="0.35">
      <c r="A195" s="47">
        <f t="shared" si="33"/>
        <v>0</v>
      </c>
      <c r="B195" s="47" t="s">
        <v>343</v>
      </c>
      <c r="C195" s="99"/>
      <c r="D195" s="135">
        <f>(B137*(1-'5.Closing Stock &amp; W Capital'!$D$16))*$C195*D$172</f>
        <v>0</v>
      </c>
      <c r="E195" s="135">
        <f>((C137*(1-'5.Closing Stock &amp; W Capital'!$D$16))+(B137*'5.Closing Stock &amp; W Capital'!$D$16))*$C195*E$172</f>
        <v>0</v>
      </c>
      <c r="F195" s="135">
        <f>((D137*(1-'5.Closing Stock &amp; W Capital'!$D$16))+(C137*'5.Closing Stock &amp; W Capital'!$D$16))*$C195*F$172</f>
        <v>0</v>
      </c>
      <c r="G195" s="135">
        <f>((E137*(1-'5.Closing Stock &amp; W Capital'!$D$16))+(D137*'5.Closing Stock &amp; W Capital'!$D$16))*$C195*G$172</f>
        <v>0</v>
      </c>
      <c r="H195" s="135">
        <f>((F137*(1-'5.Closing Stock &amp; W Capital'!$D$16))+(E137*'5.Closing Stock &amp; W Capital'!$D$16))*$C195*H$172</f>
        <v>0</v>
      </c>
      <c r="I195" s="135">
        <f>((G137*(1-'5.Closing Stock &amp; W Capital'!$D$16))+(F137*'5.Closing Stock &amp; W Capital'!$D$16))*$C195*I$172</f>
        <v>0</v>
      </c>
      <c r="J195" s="135">
        <f>((H137*(1-'5.Closing Stock &amp; W Capital'!$D$16))+(G137*'5.Closing Stock &amp; W Capital'!$D$16))*$C195*J$172</f>
        <v>0</v>
      </c>
    </row>
    <row r="196" spans="1:10" ht="14.45" hidden="1" x14ac:dyDescent="0.35">
      <c r="A196" s="47">
        <f t="shared" si="33"/>
        <v>0</v>
      </c>
      <c r="B196" s="47" t="s">
        <v>343</v>
      </c>
      <c r="C196" s="99"/>
      <c r="D196" s="135">
        <f>(B138*(1-'5.Closing Stock &amp; W Capital'!$D$16))*$C196*D$172</f>
        <v>0</v>
      </c>
      <c r="E196" s="135">
        <f>((C138*(1-'5.Closing Stock &amp; W Capital'!$D$16))+(B138*'5.Closing Stock &amp; W Capital'!$D$16))*$C196*E$172</f>
        <v>0</v>
      </c>
      <c r="F196" s="135">
        <f>((D138*(1-'5.Closing Stock &amp; W Capital'!$D$16))+(C138*'5.Closing Stock &amp; W Capital'!$D$16))*$C196*F$172</f>
        <v>0</v>
      </c>
      <c r="G196" s="135">
        <f>((E138*(1-'5.Closing Stock &amp; W Capital'!$D$16))+(D138*'5.Closing Stock &amp; W Capital'!$D$16))*$C196*G$172</f>
        <v>0</v>
      </c>
      <c r="H196" s="135">
        <f>((F138*(1-'5.Closing Stock &amp; W Capital'!$D$16))+(E138*'5.Closing Stock &amp; W Capital'!$D$16))*$C196*H$172</f>
        <v>0</v>
      </c>
      <c r="I196" s="135">
        <f>((G138*(1-'5.Closing Stock &amp; W Capital'!$D$16))+(F138*'5.Closing Stock &amp; W Capital'!$D$16))*$C196*I$172</f>
        <v>0</v>
      </c>
      <c r="J196" s="135">
        <f>((H138*(1-'5.Closing Stock &amp; W Capital'!$D$16))+(G138*'5.Closing Stock &amp; W Capital'!$D$16))*$C196*J$172</f>
        <v>0</v>
      </c>
    </row>
    <row r="197" spans="1:10" ht="14.45" hidden="1" x14ac:dyDescent="0.35">
      <c r="A197" s="47">
        <f t="shared" si="33"/>
        <v>0</v>
      </c>
      <c r="B197" s="47" t="s">
        <v>343</v>
      </c>
      <c r="C197" s="99"/>
      <c r="D197" s="135">
        <f>(B139*(1-'5.Closing Stock &amp; W Capital'!$D$16))*$C197*D$172</f>
        <v>0</v>
      </c>
      <c r="E197" s="135">
        <f>((C139*(1-'5.Closing Stock &amp; W Capital'!$D$16))+(B139*'5.Closing Stock &amp; W Capital'!$D$16))*$C197*E$172</f>
        <v>0</v>
      </c>
      <c r="F197" s="135">
        <f>((D139*(1-'5.Closing Stock &amp; W Capital'!$D$16))+(C139*'5.Closing Stock &amp; W Capital'!$D$16))*$C197*F$172</f>
        <v>0</v>
      </c>
      <c r="G197" s="135">
        <f>((E139*(1-'5.Closing Stock &amp; W Capital'!$D$16))+(D139*'5.Closing Stock &amp; W Capital'!$D$16))*$C197*G$172</f>
        <v>0</v>
      </c>
      <c r="H197" s="135">
        <f>((F139*(1-'5.Closing Stock &amp; W Capital'!$D$16))+(E139*'5.Closing Stock &amp; W Capital'!$D$16))*$C197*H$172</f>
        <v>0</v>
      </c>
      <c r="I197" s="135">
        <f>((G139*(1-'5.Closing Stock &amp; W Capital'!$D$16))+(F139*'5.Closing Stock &amp; W Capital'!$D$16))*$C197*I$172</f>
        <v>0</v>
      </c>
      <c r="J197" s="135">
        <f>((H139*(1-'5.Closing Stock &amp; W Capital'!$D$16))+(G139*'5.Closing Stock &amp; W Capital'!$D$16))*$C197*J$172</f>
        <v>0</v>
      </c>
    </row>
    <row r="198" spans="1:10" ht="14.45" hidden="1" x14ac:dyDescent="0.35">
      <c r="A198" s="47">
        <f t="shared" si="33"/>
        <v>0</v>
      </c>
      <c r="B198" s="47" t="s">
        <v>343</v>
      </c>
      <c r="C198" s="99"/>
      <c r="D198" s="135">
        <f>(B140*(1-'5.Closing Stock &amp; W Capital'!$D$16))*$C198*D$172</f>
        <v>0</v>
      </c>
      <c r="E198" s="135">
        <f>((C140*(1-'5.Closing Stock &amp; W Capital'!$D$16))+(B140*'5.Closing Stock &amp; W Capital'!$D$16))*$C198*E$172</f>
        <v>0</v>
      </c>
      <c r="F198" s="135">
        <f>((D140*(1-'5.Closing Stock &amp; W Capital'!$D$16))+(C140*'5.Closing Stock &amp; W Capital'!$D$16))*$C198*F$172</f>
        <v>0</v>
      </c>
      <c r="G198" s="135">
        <f>((E140*(1-'5.Closing Stock &amp; W Capital'!$D$16))+(D140*'5.Closing Stock &amp; W Capital'!$D$16))*$C198*G$172</f>
        <v>0</v>
      </c>
      <c r="H198" s="135">
        <f>((F140*(1-'5.Closing Stock &amp; W Capital'!$D$16))+(E140*'5.Closing Stock &amp; W Capital'!$D$16))*$C198*H$172</f>
        <v>0</v>
      </c>
      <c r="I198" s="135">
        <f>((G140*(1-'5.Closing Stock &amp; W Capital'!$D$16))+(F140*'5.Closing Stock &amp; W Capital'!$D$16))*$C198*I$172</f>
        <v>0</v>
      </c>
      <c r="J198" s="135">
        <f>((H140*(1-'5.Closing Stock &amp; W Capital'!$D$16))+(G140*'5.Closing Stock &amp; W Capital'!$D$16))*$C198*J$172</f>
        <v>0</v>
      </c>
    </row>
    <row r="199" spans="1:10" ht="14.45" hidden="1" x14ac:dyDescent="0.35">
      <c r="A199" s="47"/>
      <c r="B199" s="47" t="s">
        <v>343</v>
      </c>
      <c r="C199" s="99"/>
      <c r="D199" s="135">
        <f>(B141*(1-'5.Closing Stock &amp; W Capital'!$D$16))*$C199*D$172</f>
        <v>0</v>
      </c>
      <c r="E199" s="135">
        <f>((C141*(1-'5.Closing Stock &amp; W Capital'!$D$16))+(B141*'5.Closing Stock &amp; W Capital'!$D$16))*$C199*E$172</f>
        <v>0</v>
      </c>
      <c r="F199" s="135">
        <f>((D141*(1-'5.Closing Stock &amp; W Capital'!$D$16))+(C141*'5.Closing Stock &amp; W Capital'!$D$16))*$C199*F$172</f>
        <v>0</v>
      </c>
      <c r="G199" s="135">
        <f>((E141*(1-'5.Closing Stock &amp; W Capital'!$D$16))+(D141*'5.Closing Stock &amp; W Capital'!$D$16))*$C199*G$172</f>
        <v>0</v>
      </c>
      <c r="H199" s="135">
        <f>((F141*(1-'5.Closing Stock &amp; W Capital'!$D$16))+(E141*'5.Closing Stock &amp; W Capital'!$D$16))*$C199*H$172</f>
        <v>0</v>
      </c>
      <c r="I199" s="135">
        <f>((G141*(1-'5.Closing Stock &amp; W Capital'!$D$16))+(F141*'5.Closing Stock &amp; W Capital'!$D$16))*$C199*I$172</f>
        <v>0</v>
      </c>
      <c r="J199" s="135">
        <f>((H141*(1-'5.Closing Stock &amp; W Capital'!$D$16))+(G141*'5.Closing Stock &amp; W Capital'!$D$16))*$C199*J$172</f>
        <v>0</v>
      </c>
    </row>
    <row r="200" spans="1:10" x14ac:dyDescent="0.25">
      <c r="A200" s="78" t="s">
        <v>278</v>
      </c>
      <c r="B200" s="47" t="s">
        <v>343</v>
      </c>
      <c r="C200" s="86">
        <v>80</v>
      </c>
      <c r="D200" s="135">
        <f t="shared" ref="D200:J200" si="34">B65*$C$200*D172</f>
        <v>1067659.04</v>
      </c>
      <c r="E200" s="135">
        <f t="shared" si="34"/>
        <v>1345250.3903999999</v>
      </c>
      <c r="F200" s="135">
        <f t="shared" si="34"/>
        <v>1647931.7282399994</v>
      </c>
      <c r="G200" s="135">
        <f t="shared" si="34"/>
        <v>1977518.0738879999</v>
      </c>
      <c r="H200" s="135">
        <f t="shared" si="34"/>
        <v>2335943.2247802</v>
      </c>
      <c r="I200" s="135">
        <f t="shared" si="34"/>
        <v>2725267.0955769001</v>
      </c>
      <c r="J200" s="135">
        <f t="shared" si="34"/>
        <v>3147683.4953913204</v>
      </c>
    </row>
    <row r="201" spans="1:10" x14ac:dyDescent="0.25">
      <c r="A201" s="78"/>
      <c r="B201" s="78"/>
      <c r="C201" s="78"/>
      <c r="D201" s="47"/>
      <c r="E201" s="47"/>
      <c r="F201" s="47"/>
      <c r="G201" s="47"/>
      <c r="H201" s="47"/>
      <c r="I201" s="47"/>
      <c r="J201" s="47"/>
    </row>
    <row r="202" spans="1:10" ht="14.45" hidden="1" x14ac:dyDescent="0.35">
      <c r="A202" s="78" t="str">
        <f t="shared" ref="A202:A220" si="35">A143</f>
        <v>Fruit  &amp; Vegetables Crop Production Details</v>
      </c>
      <c r="B202" s="78"/>
      <c r="C202" s="78"/>
      <c r="D202" s="47"/>
      <c r="E202" s="47"/>
      <c r="F202" s="47"/>
      <c r="G202" s="47"/>
      <c r="H202" s="47"/>
      <c r="I202" s="47"/>
      <c r="J202" s="47"/>
    </row>
    <row r="203" spans="1:10" ht="14.45" hidden="1" x14ac:dyDescent="0.35">
      <c r="A203" s="78" t="str">
        <f t="shared" si="35"/>
        <v>Onion</v>
      </c>
      <c r="B203" s="47" t="s">
        <v>343</v>
      </c>
      <c r="C203" s="136">
        <v>2000</v>
      </c>
      <c r="D203" s="135">
        <f>(B144*(1-'5.Closing Stock &amp; W Capital'!$D$16))*$C203*D$172</f>
        <v>0</v>
      </c>
      <c r="E203" s="135">
        <f>((C144*(1-'5.Closing Stock &amp; W Capital'!$D$16))+(B144*'5.Closing Stock &amp; W Capital'!$D$16))*$C203*E$172</f>
        <v>0</v>
      </c>
      <c r="F203" s="135">
        <f>((D144*(1-'5.Closing Stock &amp; W Capital'!$D$16))+(C144*'5.Closing Stock &amp; W Capital'!$D$16))*$C203*F$172</f>
        <v>0</v>
      </c>
      <c r="G203" s="135">
        <f>((E144*(1-'5.Closing Stock &amp; W Capital'!$D$16))+(D144*'5.Closing Stock &amp; W Capital'!$D$16))*$C203*G$172</f>
        <v>0</v>
      </c>
      <c r="H203" s="135">
        <f>((F144*(1-'5.Closing Stock &amp; W Capital'!$D$16))+(E144*'5.Closing Stock &amp; W Capital'!$D$16))*$C203*H$172</f>
        <v>0</v>
      </c>
      <c r="I203" s="135">
        <f>((G144*(1-'5.Closing Stock &amp; W Capital'!$D$16))+(F144*'5.Closing Stock &amp; W Capital'!$D$16))*$C203*I$172</f>
        <v>0</v>
      </c>
      <c r="J203" s="135">
        <f>((H144*(1-'5.Closing Stock &amp; W Capital'!$D$16))+(G144*'5.Closing Stock &amp; W Capital'!$D$16))*$C203*J$172</f>
        <v>0</v>
      </c>
    </row>
    <row r="204" spans="1:10" ht="14.45" hidden="1" x14ac:dyDescent="0.35">
      <c r="A204" s="78" t="str">
        <f t="shared" si="35"/>
        <v>Tomato</v>
      </c>
      <c r="B204" s="47" t="s">
        <v>343</v>
      </c>
      <c r="C204" s="99">
        <v>1000</v>
      </c>
      <c r="D204" s="135">
        <f>(B145*(1-'5.Closing Stock &amp; W Capital'!$D$16))*$C204*D$172</f>
        <v>0</v>
      </c>
      <c r="E204" s="135">
        <f>((C145*(1-'5.Closing Stock &amp; W Capital'!$D$16))+(B145*'5.Closing Stock &amp; W Capital'!$D$16))*$C204*E$172</f>
        <v>0</v>
      </c>
      <c r="F204" s="135">
        <f>((D145*(1-'5.Closing Stock &amp; W Capital'!$D$16))+(C145*'5.Closing Stock &amp; W Capital'!$D$16))*$C204*F$172</f>
        <v>0</v>
      </c>
      <c r="G204" s="135">
        <f>((E145*(1-'5.Closing Stock &amp; W Capital'!$D$16))+(D145*'5.Closing Stock &amp; W Capital'!$D$16))*$C204*G$172</f>
        <v>0</v>
      </c>
      <c r="H204" s="135">
        <f>((F145*(1-'5.Closing Stock &amp; W Capital'!$D$16))+(E145*'5.Closing Stock &amp; W Capital'!$D$16))*$C204*H$172</f>
        <v>0</v>
      </c>
      <c r="I204" s="135">
        <f>((G145*(1-'5.Closing Stock &amp; W Capital'!$D$16))+(F145*'5.Closing Stock &amp; W Capital'!$D$16))*$C204*I$172</f>
        <v>0</v>
      </c>
      <c r="J204" s="135">
        <f>((H145*(1-'5.Closing Stock &amp; W Capital'!$D$16))+(G145*'5.Closing Stock &amp; W Capital'!$D$16))*$C204*J$172</f>
        <v>0</v>
      </c>
    </row>
    <row r="205" spans="1:10" ht="14.45" hidden="1" x14ac:dyDescent="0.35">
      <c r="A205" s="78" t="str">
        <f t="shared" si="35"/>
        <v>Okra</v>
      </c>
      <c r="B205" s="47" t="s">
        <v>343</v>
      </c>
      <c r="C205" s="99">
        <v>1500</v>
      </c>
      <c r="D205" s="135">
        <f>(B146*(1-'5.Closing Stock &amp; W Capital'!$D$16))*$C205*D$172</f>
        <v>0</v>
      </c>
      <c r="E205" s="135">
        <f>((C146*(1-'5.Closing Stock &amp; W Capital'!$D$16))+(B146*'5.Closing Stock &amp; W Capital'!$D$16))*$C205*E$172</f>
        <v>0</v>
      </c>
      <c r="F205" s="135">
        <f>((D146*(1-'5.Closing Stock &amp; W Capital'!$D$16))+(C146*'5.Closing Stock &amp; W Capital'!$D$16))*$C205*F$172</f>
        <v>0</v>
      </c>
      <c r="G205" s="135">
        <f>((E146*(1-'5.Closing Stock &amp; W Capital'!$D$16))+(D146*'5.Closing Stock &amp; W Capital'!$D$16))*$C205*G$172</f>
        <v>0</v>
      </c>
      <c r="H205" s="135">
        <f>((F146*(1-'5.Closing Stock &amp; W Capital'!$D$16))+(E146*'5.Closing Stock &amp; W Capital'!$D$16))*$C205*H$172</f>
        <v>0</v>
      </c>
      <c r="I205" s="135">
        <f>((G146*(1-'5.Closing Stock &amp; W Capital'!$D$16))+(F146*'5.Closing Stock &amp; W Capital'!$D$16))*$C205*I$172</f>
        <v>0</v>
      </c>
      <c r="J205" s="135">
        <f>((H146*(1-'5.Closing Stock &amp; W Capital'!$D$16))+(G146*'5.Closing Stock &amp; W Capital'!$D$16))*$C205*J$172</f>
        <v>0</v>
      </c>
    </row>
    <row r="206" spans="1:10" ht="14.45" hidden="1" x14ac:dyDescent="0.35">
      <c r="A206" s="78" t="str">
        <f t="shared" si="35"/>
        <v>Chilli</v>
      </c>
      <c r="B206" s="47" t="s">
        <v>343</v>
      </c>
      <c r="C206" s="99">
        <v>3000</v>
      </c>
      <c r="D206" s="135">
        <f>(B147*(1-'5.Closing Stock &amp; W Capital'!$D$16))*$C206*D$172</f>
        <v>0</v>
      </c>
      <c r="E206" s="135">
        <f>((C147*(1-'5.Closing Stock &amp; W Capital'!$D$16))+(B147*'5.Closing Stock &amp; W Capital'!$D$16))*$C206*E$172</f>
        <v>0</v>
      </c>
      <c r="F206" s="135">
        <f>((D147*(1-'5.Closing Stock &amp; W Capital'!$D$16))+(C147*'5.Closing Stock &amp; W Capital'!$D$16))*$C206*F$172</f>
        <v>0</v>
      </c>
      <c r="G206" s="135">
        <f>((E147*(1-'5.Closing Stock &amp; W Capital'!$D$16))+(D147*'5.Closing Stock &amp; W Capital'!$D$16))*$C206*G$172</f>
        <v>0</v>
      </c>
      <c r="H206" s="135">
        <f>((F147*(1-'5.Closing Stock &amp; W Capital'!$D$16))+(E147*'5.Closing Stock &amp; W Capital'!$D$16))*$C206*H$172</f>
        <v>0</v>
      </c>
      <c r="I206" s="135">
        <f>((G147*(1-'5.Closing Stock &amp; W Capital'!$D$16))+(F147*'5.Closing Stock &amp; W Capital'!$D$16))*$C206*I$172</f>
        <v>0</v>
      </c>
      <c r="J206" s="135">
        <f>((H147*(1-'5.Closing Stock &amp; W Capital'!$D$16))+(G147*'5.Closing Stock &amp; W Capital'!$D$16))*$C206*J$172</f>
        <v>0</v>
      </c>
    </row>
    <row r="207" spans="1:10" ht="14.45" hidden="1" x14ac:dyDescent="0.35">
      <c r="A207" s="78" t="str">
        <f t="shared" si="35"/>
        <v>Potato</v>
      </c>
      <c r="B207" s="47" t="s">
        <v>343</v>
      </c>
      <c r="C207" s="99">
        <v>1500</v>
      </c>
      <c r="D207" s="135">
        <f>(B148*(1-'5.Closing Stock &amp; W Capital'!$D$16))*$C207*D$172</f>
        <v>0</v>
      </c>
      <c r="E207" s="135">
        <f>((C148*(1-'5.Closing Stock &amp; W Capital'!$D$16))+(B148*'5.Closing Stock &amp; W Capital'!$D$16))*$C207*E$172</f>
        <v>0</v>
      </c>
      <c r="F207" s="135">
        <f>((D148*(1-'5.Closing Stock &amp; W Capital'!$D$16))+(C148*'5.Closing Stock &amp; W Capital'!$D$16))*$C207*F$172</f>
        <v>0</v>
      </c>
      <c r="G207" s="135">
        <f>((E148*(1-'5.Closing Stock &amp; W Capital'!$D$16))+(D148*'5.Closing Stock &amp; W Capital'!$D$16))*$C207*G$172</f>
        <v>0</v>
      </c>
      <c r="H207" s="135">
        <f>((F148*(1-'5.Closing Stock &amp; W Capital'!$D$16))+(E148*'5.Closing Stock &amp; W Capital'!$D$16))*$C207*H$172</f>
        <v>0</v>
      </c>
      <c r="I207" s="135">
        <f>((G148*(1-'5.Closing Stock &amp; W Capital'!$D$16))+(F148*'5.Closing Stock &amp; W Capital'!$D$16))*$C207*I$172</f>
        <v>0</v>
      </c>
      <c r="J207" s="135">
        <f>((H148*(1-'5.Closing Stock &amp; W Capital'!$D$16))+(G148*'5.Closing Stock &amp; W Capital'!$D$16))*$C207*J$172</f>
        <v>0</v>
      </c>
    </row>
    <row r="208" spans="1:10" ht="14.45" hidden="1" x14ac:dyDescent="0.35">
      <c r="A208" s="78">
        <f t="shared" si="35"/>
        <v>0</v>
      </c>
      <c r="B208" s="47" t="s">
        <v>343</v>
      </c>
      <c r="C208" s="86"/>
      <c r="D208" s="135">
        <f>(B149*(1-'5.Closing Stock &amp; W Capital'!$D$16))*$C208*D$172</f>
        <v>0</v>
      </c>
      <c r="E208" s="135">
        <f>((C149*(1-'5.Closing Stock &amp; W Capital'!$D$16))+(B149*'5.Closing Stock &amp; W Capital'!$D$16))*$C208*E$172</f>
        <v>0</v>
      </c>
      <c r="F208" s="135">
        <f>((D149*(1-'5.Closing Stock &amp; W Capital'!$D$16))+(C149*'5.Closing Stock &amp; W Capital'!$D$16))*$C208*F$172</f>
        <v>0</v>
      </c>
      <c r="G208" s="135">
        <f>((E149*(1-'5.Closing Stock &amp; W Capital'!$D$16))+(D149*'5.Closing Stock &amp; W Capital'!$D$16))*$C208*G$172</f>
        <v>0</v>
      </c>
      <c r="H208" s="135">
        <f>((F149*(1-'5.Closing Stock &amp; W Capital'!$D$16))+(E149*'5.Closing Stock &amp; W Capital'!$D$16))*$C208*H$172</f>
        <v>0</v>
      </c>
      <c r="I208" s="135">
        <f>((G149*(1-'5.Closing Stock &amp; W Capital'!$D$16))+(F149*'5.Closing Stock &amp; W Capital'!$D$16))*$C208*I$172</f>
        <v>0</v>
      </c>
      <c r="J208" s="135">
        <f>((H149*(1-'5.Closing Stock &amp; W Capital'!$D$16))+(G149*'5.Closing Stock &amp; W Capital'!$D$16))*$C208*J$172</f>
        <v>0</v>
      </c>
    </row>
    <row r="209" spans="1:10" ht="14.45" hidden="1" x14ac:dyDescent="0.35">
      <c r="A209" s="78">
        <f t="shared" si="35"/>
        <v>0</v>
      </c>
      <c r="B209" s="47" t="s">
        <v>343</v>
      </c>
      <c r="C209" s="86"/>
      <c r="D209" s="135">
        <f>(B150*(1-'5.Closing Stock &amp; W Capital'!$D$16))*$C209*D$172</f>
        <v>0</v>
      </c>
      <c r="E209" s="135">
        <f>((C150*(1-'5.Closing Stock &amp; W Capital'!$D$16))+(B150*'5.Closing Stock &amp; W Capital'!$D$16))*$C209*E$172</f>
        <v>0</v>
      </c>
      <c r="F209" s="135">
        <f>((D150*(1-'5.Closing Stock &amp; W Capital'!$D$16))+(C150*'5.Closing Stock &amp; W Capital'!$D$16))*$C209*F$172</f>
        <v>0</v>
      </c>
      <c r="G209" s="135">
        <f>((E150*(1-'5.Closing Stock &amp; W Capital'!$D$16))+(D150*'5.Closing Stock &amp; W Capital'!$D$16))*$C209*G$172</f>
        <v>0</v>
      </c>
      <c r="H209" s="135">
        <f>((F150*(1-'5.Closing Stock &amp; W Capital'!$D$16))+(E150*'5.Closing Stock &amp; W Capital'!$D$16))*$C209*H$172</f>
        <v>0</v>
      </c>
      <c r="I209" s="135">
        <f>((G150*(1-'5.Closing Stock &amp; W Capital'!$D$16))+(F150*'5.Closing Stock &amp; W Capital'!$D$16))*$C209*I$172</f>
        <v>0</v>
      </c>
      <c r="J209" s="135">
        <f>((H150*(1-'5.Closing Stock &amp; W Capital'!$D$16))+(G150*'5.Closing Stock &amp; W Capital'!$D$16))*$C209*J$172</f>
        <v>0</v>
      </c>
    </row>
    <row r="210" spans="1:10" ht="14.45" hidden="1" x14ac:dyDescent="0.35">
      <c r="A210" s="78">
        <f t="shared" si="35"/>
        <v>0</v>
      </c>
      <c r="B210" s="47" t="s">
        <v>343</v>
      </c>
      <c r="C210" s="86"/>
      <c r="D210" s="135">
        <f>(B151*(1-'5.Closing Stock &amp; W Capital'!$D$16))*$C210*D$172</f>
        <v>0</v>
      </c>
      <c r="E210" s="135">
        <f>((C151*(1-'5.Closing Stock &amp; W Capital'!$D$16))+(B151*'5.Closing Stock &amp; W Capital'!$D$16))*$C210*E$172</f>
        <v>0</v>
      </c>
      <c r="F210" s="135">
        <f>((D151*(1-'5.Closing Stock &amp; W Capital'!$D$16))+(C151*'5.Closing Stock &amp; W Capital'!$D$16))*$C210*F$172</f>
        <v>0</v>
      </c>
      <c r="G210" s="135">
        <f>((E151*(1-'5.Closing Stock &amp; W Capital'!$D$16))+(D151*'5.Closing Stock &amp; W Capital'!$D$16))*$C210*G$172</f>
        <v>0</v>
      </c>
      <c r="H210" s="135">
        <f>((F151*(1-'5.Closing Stock &amp; W Capital'!$D$16))+(E151*'5.Closing Stock &amp; W Capital'!$D$16))*$C210*H$172</f>
        <v>0</v>
      </c>
      <c r="I210" s="135">
        <f>((G151*(1-'5.Closing Stock &amp; W Capital'!$D$16))+(F151*'5.Closing Stock &amp; W Capital'!$D$16))*$C210*I$172</f>
        <v>0</v>
      </c>
      <c r="J210" s="135">
        <f>((H151*(1-'5.Closing Stock &amp; W Capital'!$D$16))+(G151*'5.Closing Stock &amp; W Capital'!$D$16))*$C210*J$172</f>
        <v>0</v>
      </c>
    </row>
    <row r="211" spans="1:10" ht="14.45" hidden="1" x14ac:dyDescent="0.35">
      <c r="A211" s="78">
        <f t="shared" si="35"/>
        <v>0</v>
      </c>
      <c r="B211" s="47" t="s">
        <v>343</v>
      </c>
      <c r="C211" s="86"/>
      <c r="D211" s="135">
        <f>(B152*(1-'5.Closing Stock &amp; W Capital'!$D$16))*$C211*D$172</f>
        <v>0</v>
      </c>
      <c r="E211" s="135">
        <f>((C152*(1-'5.Closing Stock &amp; W Capital'!$D$16))+(B152*'5.Closing Stock &amp; W Capital'!$D$16))*$C211*E$172</f>
        <v>0</v>
      </c>
      <c r="F211" s="135">
        <f>((D152*(1-'5.Closing Stock &amp; W Capital'!$D$16))+(C152*'5.Closing Stock &amp; W Capital'!$D$16))*$C211*F$172</f>
        <v>0</v>
      </c>
      <c r="G211" s="135">
        <f>((E152*(1-'5.Closing Stock &amp; W Capital'!$D$16))+(D152*'5.Closing Stock &amp; W Capital'!$D$16))*$C211*G$172</f>
        <v>0</v>
      </c>
      <c r="H211" s="135">
        <f>((F152*(1-'5.Closing Stock &amp; W Capital'!$D$16))+(E152*'5.Closing Stock &amp; W Capital'!$D$16))*$C211*H$172</f>
        <v>0</v>
      </c>
      <c r="I211" s="135">
        <f>((G152*(1-'5.Closing Stock &amp; W Capital'!$D$16))+(F152*'5.Closing Stock &amp; W Capital'!$D$16))*$C211*I$172</f>
        <v>0</v>
      </c>
      <c r="J211" s="135">
        <f>((H152*(1-'5.Closing Stock &amp; W Capital'!$D$16))+(G152*'5.Closing Stock &amp; W Capital'!$D$16))*$C211*J$172</f>
        <v>0</v>
      </c>
    </row>
    <row r="212" spans="1:10" ht="14.45" hidden="1" x14ac:dyDescent="0.35">
      <c r="A212" s="78" t="str">
        <f t="shared" si="35"/>
        <v>Onion</v>
      </c>
      <c r="B212" s="47" t="s">
        <v>343</v>
      </c>
      <c r="C212" s="99">
        <v>2000</v>
      </c>
      <c r="D212" s="135">
        <f>(B153*(1-'5.Closing Stock &amp; W Capital'!$D$16))*$C212*D$172</f>
        <v>0</v>
      </c>
      <c r="E212" s="135">
        <f>((C153*(1-'5.Closing Stock &amp; W Capital'!$D$16))+(B153*'5.Closing Stock &amp; W Capital'!$D$16))*$C212*E$172</f>
        <v>0</v>
      </c>
      <c r="F212" s="135">
        <f>((D153*(1-'5.Closing Stock &amp; W Capital'!$D$16))+(C153*'5.Closing Stock &amp; W Capital'!$D$16))*$C212*F$172</f>
        <v>0</v>
      </c>
      <c r="G212" s="135">
        <f>((E153*(1-'5.Closing Stock &amp; W Capital'!$D$16))+(D153*'5.Closing Stock &amp; W Capital'!$D$16))*$C212*G$172</f>
        <v>0</v>
      </c>
      <c r="H212" s="135">
        <f>((F153*(1-'5.Closing Stock &amp; W Capital'!$D$16))+(E153*'5.Closing Stock &amp; W Capital'!$D$16))*$C212*H$172</f>
        <v>0</v>
      </c>
      <c r="I212" s="135">
        <f>((G153*(1-'5.Closing Stock &amp; W Capital'!$D$16))+(F153*'5.Closing Stock &amp; W Capital'!$D$16))*$C212*I$172</f>
        <v>0</v>
      </c>
      <c r="J212" s="135">
        <f>((H153*(1-'5.Closing Stock &amp; W Capital'!$D$16))+(G153*'5.Closing Stock &amp; W Capital'!$D$16))*$C212*J$172</f>
        <v>0</v>
      </c>
    </row>
    <row r="213" spans="1:10" ht="14.45" hidden="1" x14ac:dyDescent="0.35">
      <c r="A213" s="78" t="str">
        <f t="shared" si="35"/>
        <v>Tomato</v>
      </c>
      <c r="B213" s="47" t="s">
        <v>343</v>
      </c>
      <c r="C213" s="99">
        <v>1000</v>
      </c>
      <c r="D213" s="135">
        <f>(B154*(1-'5.Closing Stock &amp; W Capital'!$D$16))*$C213*D$172</f>
        <v>0</v>
      </c>
      <c r="E213" s="135">
        <f>((C154*(1-'5.Closing Stock &amp; W Capital'!$D$16))+(B154*'5.Closing Stock &amp; W Capital'!$D$16))*$C213*E$172</f>
        <v>0</v>
      </c>
      <c r="F213" s="135">
        <f>((D154*(1-'5.Closing Stock &amp; W Capital'!$D$16))+(C154*'5.Closing Stock &amp; W Capital'!$D$16))*$C213*F$172</f>
        <v>0</v>
      </c>
      <c r="G213" s="135">
        <f>((E154*(1-'5.Closing Stock &amp; W Capital'!$D$16))+(D154*'5.Closing Stock &amp; W Capital'!$D$16))*$C213*G$172</f>
        <v>0</v>
      </c>
      <c r="H213" s="135">
        <f>((F154*(1-'5.Closing Stock &amp; W Capital'!$D$16))+(E154*'5.Closing Stock &amp; W Capital'!$D$16))*$C213*H$172</f>
        <v>0</v>
      </c>
      <c r="I213" s="135">
        <f>((G154*(1-'5.Closing Stock &amp; W Capital'!$D$16))+(F154*'5.Closing Stock &amp; W Capital'!$D$16))*$C213*I$172</f>
        <v>0</v>
      </c>
      <c r="J213" s="135">
        <f>((H154*(1-'5.Closing Stock &amp; W Capital'!$D$16))+(G154*'5.Closing Stock &amp; W Capital'!$D$16))*$C213*J$172</f>
        <v>0</v>
      </c>
    </row>
    <row r="214" spans="1:10" ht="14.45" hidden="1" x14ac:dyDescent="0.35">
      <c r="A214" s="78" t="str">
        <f t="shared" si="35"/>
        <v>Okra</v>
      </c>
      <c r="B214" s="47" t="s">
        <v>343</v>
      </c>
      <c r="C214" s="99">
        <v>1500</v>
      </c>
      <c r="D214" s="135">
        <f>(B155*(1-'5.Closing Stock &amp; W Capital'!$D$16))*$C214*D$172</f>
        <v>0</v>
      </c>
      <c r="E214" s="135">
        <f>((C155*(1-'5.Closing Stock &amp; W Capital'!$D$16))+(B155*'5.Closing Stock &amp; W Capital'!$D$16))*$C214*E$172</f>
        <v>0</v>
      </c>
      <c r="F214" s="135">
        <f>((D155*(1-'5.Closing Stock &amp; W Capital'!$D$16))+(C155*'5.Closing Stock &amp; W Capital'!$D$16))*$C214*F$172</f>
        <v>0</v>
      </c>
      <c r="G214" s="135">
        <f>((E155*(1-'5.Closing Stock &amp; W Capital'!$D$16))+(D155*'5.Closing Stock &amp; W Capital'!$D$16))*$C214*G$172</f>
        <v>0</v>
      </c>
      <c r="H214" s="135">
        <f>((F155*(1-'5.Closing Stock &amp; W Capital'!$D$16))+(E155*'5.Closing Stock &amp; W Capital'!$D$16))*$C214*H$172</f>
        <v>0</v>
      </c>
      <c r="I214" s="135">
        <f>((G155*(1-'5.Closing Stock &amp; W Capital'!$D$16))+(F155*'5.Closing Stock &amp; W Capital'!$D$16))*$C214*I$172</f>
        <v>0</v>
      </c>
      <c r="J214" s="135">
        <f>((H155*(1-'5.Closing Stock &amp; W Capital'!$D$16))+(G155*'5.Closing Stock &amp; W Capital'!$D$16))*$C214*J$172</f>
        <v>0</v>
      </c>
    </row>
    <row r="215" spans="1:10" ht="14.45" hidden="1" x14ac:dyDescent="0.35">
      <c r="A215" s="78" t="str">
        <f t="shared" si="35"/>
        <v>Chilli</v>
      </c>
      <c r="B215" s="47" t="s">
        <v>343</v>
      </c>
      <c r="C215" s="99">
        <v>3000</v>
      </c>
      <c r="D215" s="135">
        <f>(B156*(1-'5.Closing Stock &amp; W Capital'!$D$16))*$C215*D$172</f>
        <v>0</v>
      </c>
      <c r="E215" s="135">
        <f>((C156*(1-'5.Closing Stock &amp; W Capital'!$D$16))+(B156*'5.Closing Stock &amp; W Capital'!$D$16))*$C215*E$172</f>
        <v>0</v>
      </c>
      <c r="F215" s="135">
        <f>((D156*(1-'5.Closing Stock &amp; W Capital'!$D$16))+(C156*'5.Closing Stock &amp; W Capital'!$D$16))*$C215*F$172</f>
        <v>0</v>
      </c>
      <c r="G215" s="135">
        <f>((E156*(1-'5.Closing Stock &amp; W Capital'!$D$16))+(D156*'5.Closing Stock &amp; W Capital'!$D$16))*$C215*G$172</f>
        <v>0</v>
      </c>
      <c r="H215" s="135">
        <f>((F156*(1-'5.Closing Stock &amp; W Capital'!$D$16))+(E156*'5.Closing Stock &amp; W Capital'!$D$16))*$C215*H$172</f>
        <v>0</v>
      </c>
      <c r="I215" s="135">
        <f>((G156*(1-'5.Closing Stock &amp; W Capital'!$D$16))+(F156*'5.Closing Stock &amp; W Capital'!$D$16))*$C215*I$172</f>
        <v>0</v>
      </c>
      <c r="J215" s="135">
        <f>((H156*(1-'5.Closing Stock &amp; W Capital'!$D$16))+(G156*'5.Closing Stock &amp; W Capital'!$D$16))*$C215*J$172</f>
        <v>0</v>
      </c>
    </row>
    <row r="216" spans="1:10" ht="14.45" hidden="1" x14ac:dyDescent="0.35">
      <c r="A216" s="78" t="str">
        <f t="shared" si="35"/>
        <v>Brinjal</v>
      </c>
      <c r="B216" s="47" t="s">
        <v>343</v>
      </c>
      <c r="C216" s="99">
        <v>2000</v>
      </c>
      <c r="D216" s="135">
        <f>(B157*(1-'5.Closing Stock &amp; W Capital'!$D$16))*$C216*D$172</f>
        <v>0</v>
      </c>
      <c r="E216" s="135">
        <f>((C157*(1-'5.Closing Stock &amp; W Capital'!$D$16))+(B157*'5.Closing Stock &amp; W Capital'!$D$16))*$C216*E$172</f>
        <v>0</v>
      </c>
      <c r="F216" s="135">
        <f>((D157*(1-'5.Closing Stock &amp; W Capital'!$D$16))+(C157*'5.Closing Stock &amp; W Capital'!$D$16))*$C216*F$172</f>
        <v>0</v>
      </c>
      <c r="G216" s="135">
        <f>((E157*(1-'5.Closing Stock &amp; W Capital'!$D$16))+(D157*'5.Closing Stock &amp; W Capital'!$D$16))*$C216*G$172</f>
        <v>0</v>
      </c>
      <c r="H216" s="135">
        <f>((F157*(1-'5.Closing Stock &amp; W Capital'!$D$16))+(E157*'5.Closing Stock &amp; W Capital'!$D$16))*$C216*H$172</f>
        <v>0</v>
      </c>
      <c r="I216" s="135">
        <f>((G157*(1-'5.Closing Stock &amp; W Capital'!$D$16))+(F157*'5.Closing Stock &amp; W Capital'!$D$16))*$C216*I$172</f>
        <v>0</v>
      </c>
      <c r="J216" s="135">
        <f>((H157*(1-'5.Closing Stock &amp; W Capital'!$D$16))+(G157*'5.Closing Stock &amp; W Capital'!$D$16))*$C216*J$172</f>
        <v>0</v>
      </c>
    </row>
    <row r="217" spans="1:10" ht="14.45" hidden="1" x14ac:dyDescent="0.35">
      <c r="A217" s="78">
        <f t="shared" si="35"/>
        <v>0</v>
      </c>
      <c r="B217" s="47" t="s">
        <v>343</v>
      </c>
      <c r="C217" s="99"/>
      <c r="D217" s="135">
        <f>(B158*(1-'5.Closing Stock &amp; W Capital'!$D$16))*$C217*D$172</f>
        <v>0</v>
      </c>
      <c r="E217" s="135">
        <f>((C158*(1-'5.Closing Stock &amp; W Capital'!$D$16))+(B158*'5.Closing Stock &amp; W Capital'!$D$16))*$C217*E$172</f>
        <v>0</v>
      </c>
      <c r="F217" s="135">
        <f>((D158*(1-'5.Closing Stock &amp; W Capital'!$D$16))+(C158*'5.Closing Stock &amp; W Capital'!$D$16))*$C217*F$172</f>
        <v>0</v>
      </c>
      <c r="G217" s="135">
        <f>((E158*(1-'5.Closing Stock &amp; W Capital'!$D$16))+(D158*'5.Closing Stock &amp; W Capital'!$D$16))*$C217*G$172</f>
        <v>0</v>
      </c>
      <c r="H217" s="135">
        <f>((F158*(1-'5.Closing Stock &amp; W Capital'!$D$16))+(E158*'5.Closing Stock &amp; W Capital'!$D$16))*$C217*H$172</f>
        <v>0</v>
      </c>
      <c r="I217" s="135">
        <f>((G158*(1-'5.Closing Stock &amp; W Capital'!$D$16))+(F158*'5.Closing Stock &amp; W Capital'!$D$16))*$C217*I$172</f>
        <v>0</v>
      </c>
      <c r="J217" s="135">
        <f>((H158*(1-'5.Closing Stock &amp; W Capital'!$D$16))+(G158*'5.Closing Stock &amp; W Capital'!$D$16))*$C217*J$172</f>
        <v>0</v>
      </c>
    </row>
    <row r="218" spans="1:10" ht="14.45" hidden="1" x14ac:dyDescent="0.35">
      <c r="A218" s="78">
        <f t="shared" si="35"/>
        <v>0</v>
      </c>
      <c r="B218" s="47" t="s">
        <v>343</v>
      </c>
      <c r="C218" s="99"/>
      <c r="D218" s="135">
        <f>(B159*(1-'5.Closing Stock &amp; W Capital'!$D$16))*$C218*D$172</f>
        <v>0</v>
      </c>
      <c r="E218" s="135">
        <f>((C159*(1-'5.Closing Stock &amp; W Capital'!$D$16))+(B159*'5.Closing Stock &amp; W Capital'!$D$16))*$C218*E$172</f>
        <v>0</v>
      </c>
      <c r="F218" s="135">
        <f>((D159*(1-'5.Closing Stock &amp; W Capital'!$D$16))+(C159*'5.Closing Stock &amp; W Capital'!$D$16))*$C218*F$172</f>
        <v>0</v>
      </c>
      <c r="G218" s="135">
        <f>((E159*(1-'5.Closing Stock &amp; W Capital'!$D$16))+(D159*'5.Closing Stock &amp; W Capital'!$D$16))*$C218*G$172</f>
        <v>0</v>
      </c>
      <c r="H218" s="135">
        <f>((F159*(1-'5.Closing Stock &amp; W Capital'!$D$16))+(E159*'5.Closing Stock &amp; W Capital'!$D$16))*$C218*H$172</f>
        <v>0</v>
      </c>
      <c r="I218" s="135">
        <f>((G159*(1-'5.Closing Stock &amp; W Capital'!$D$16))+(F159*'5.Closing Stock &amp; W Capital'!$D$16))*$C218*I$172</f>
        <v>0</v>
      </c>
      <c r="J218" s="135">
        <f>((H159*(1-'5.Closing Stock &amp; W Capital'!$D$16))+(G159*'5.Closing Stock &amp; W Capital'!$D$16))*$C218*J$172</f>
        <v>0</v>
      </c>
    </row>
    <row r="219" spans="1:10" ht="14.45" hidden="1" x14ac:dyDescent="0.35">
      <c r="A219" s="78">
        <f t="shared" si="35"/>
        <v>0</v>
      </c>
      <c r="B219" s="47" t="s">
        <v>343</v>
      </c>
      <c r="C219" s="99"/>
      <c r="D219" s="135">
        <f>(B160*(1-'5.Closing Stock &amp; W Capital'!$D$16))*$C219*D$172</f>
        <v>0</v>
      </c>
      <c r="E219" s="135">
        <f>((C160*(1-'5.Closing Stock &amp; W Capital'!$D$16))+(B160*'5.Closing Stock &amp; W Capital'!$D$16))*$C219*E$172</f>
        <v>0</v>
      </c>
      <c r="F219" s="135">
        <f>((D160*(1-'5.Closing Stock &amp; W Capital'!$D$16))+(C160*'5.Closing Stock &amp; W Capital'!$D$16))*$C219*F$172</f>
        <v>0</v>
      </c>
      <c r="G219" s="135">
        <f>((E160*(1-'5.Closing Stock &amp; W Capital'!$D$16))+(D160*'5.Closing Stock &amp; W Capital'!$D$16))*$C219*G$172</f>
        <v>0</v>
      </c>
      <c r="H219" s="135">
        <f>((F160*(1-'5.Closing Stock &amp; W Capital'!$D$16))+(E160*'5.Closing Stock &amp; W Capital'!$D$16))*$C219*H$172</f>
        <v>0</v>
      </c>
      <c r="I219" s="135">
        <f>((G160*(1-'5.Closing Stock &amp; W Capital'!$D$16))+(F160*'5.Closing Stock &amp; W Capital'!$D$16))*$C219*I$172</f>
        <v>0</v>
      </c>
      <c r="J219" s="135">
        <f>((H160*(1-'5.Closing Stock &amp; W Capital'!$D$16))+(G160*'5.Closing Stock &amp; W Capital'!$D$16))*$C219*J$172</f>
        <v>0</v>
      </c>
    </row>
    <row r="220" spans="1:10" ht="14.45" hidden="1" x14ac:dyDescent="0.35">
      <c r="A220" s="78">
        <f t="shared" si="35"/>
        <v>0</v>
      </c>
      <c r="B220" s="47" t="s">
        <v>343</v>
      </c>
      <c r="C220" s="99"/>
      <c r="D220" s="135">
        <f>(B161*(1-'5.Closing Stock &amp; W Capital'!$D$16))*$C220*D$172</f>
        <v>0</v>
      </c>
      <c r="E220" s="135">
        <f>((C161*(1-'5.Closing Stock &amp; W Capital'!$D$16))+(B161*'5.Closing Stock &amp; W Capital'!$D$16))*$C220*E$172</f>
        <v>0</v>
      </c>
      <c r="F220" s="135">
        <f>((D161*(1-'5.Closing Stock &amp; W Capital'!$D$16))+(C161*'5.Closing Stock &amp; W Capital'!$D$16))*$C220*F$172</f>
        <v>0</v>
      </c>
      <c r="G220" s="135">
        <f>((E161*(1-'5.Closing Stock &amp; W Capital'!$D$16))+(D161*'5.Closing Stock &amp; W Capital'!$D$16))*$C220*G$172</f>
        <v>0</v>
      </c>
      <c r="H220" s="135">
        <f>((F161*(1-'5.Closing Stock &amp; W Capital'!$D$16))+(E161*'5.Closing Stock &amp; W Capital'!$D$16))*$C220*H$172</f>
        <v>0</v>
      </c>
      <c r="I220" s="135">
        <f>((G161*(1-'5.Closing Stock &amp; W Capital'!$D$16))+(F161*'5.Closing Stock &amp; W Capital'!$D$16))*$C220*I$172</f>
        <v>0</v>
      </c>
      <c r="J220" s="135">
        <f>((H161*(1-'5.Closing Stock &amp; W Capital'!$D$16))+(G161*'5.Closing Stock &amp; W Capital'!$D$16))*$C220*J$172</f>
        <v>0</v>
      </c>
    </row>
    <row r="221" spans="1:10" ht="14.45" hidden="1" x14ac:dyDescent="0.35">
      <c r="A221" s="78">
        <f t="shared" ref="A221:A223" si="36">A162</f>
        <v>0</v>
      </c>
      <c r="B221" s="47" t="s">
        <v>343</v>
      </c>
      <c r="C221" s="99"/>
      <c r="D221" s="135">
        <f>(B162*(1-'5.Closing Stock &amp; W Capital'!$D$16))*$C221*D$172</f>
        <v>0</v>
      </c>
      <c r="E221" s="135">
        <f>((C162*(1-'5.Closing Stock &amp; W Capital'!$D$16))+(B162*'5.Closing Stock &amp; W Capital'!$D$16))*$C221*E$172</f>
        <v>0</v>
      </c>
      <c r="F221" s="135">
        <f>((D162*(1-'5.Closing Stock &amp; W Capital'!$D$16))+(C162*'5.Closing Stock &amp; W Capital'!$D$16))*$C221*F$172</f>
        <v>0</v>
      </c>
      <c r="G221" s="135">
        <f>((E162*(1-'5.Closing Stock &amp; W Capital'!$D$16))+(D162*'5.Closing Stock &amp; W Capital'!$D$16))*$C221*G$172</f>
        <v>0</v>
      </c>
      <c r="H221" s="135">
        <f>((F162*(1-'5.Closing Stock &amp; W Capital'!$D$16))+(E162*'5.Closing Stock &amp; W Capital'!$D$16))*$C221*H$172</f>
        <v>0</v>
      </c>
      <c r="I221" s="135">
        <f>((G162*(1-'5.Closing Stock &amp; W Capital'!$D$16))+(F162*'5.Closing Stock &amp; W Capital'!$D$16))*$C221*I$172</f>
        <v>0</v>
      </c>
      <c r="J221" s="135">
        <f>((H162*(1-'5.Closing Stock &amp; W Capital'!$D$16))+(G162*'5.Closing Stock &amp; W Capital'!$D$16))*$C221*J$172</f>
        <v>0</v>
      </c>
    </row>
    <row r="222" spans="1:10" ht="14.45" hidden="1" x14ac:dyDescent="0.35">
      <c r="A222" s="78">
        <f t="shared" si="36"/>
        <v>0</v>
      </c>
      <c r="B222" s="47" t="s">
        <v>343</v>
      </c>
      <c r="C222" s="99"/>
      <c r="D222" s="135">
        <f>(B163*(1-'5.Closing Stock &amp; W Capital'!$D$16))*$C222*D$172</f>
        <v>0</v>
      </c>
      <c r="E222" s="135">
        <f>((C163*(1-'5.Closing Stock &amp; W Capital'!$D$16))+(B163*'5.Closing Stock &amp; W Capital'!$D$16))*$C222*E$172</f>
        <v>0</v>
      </c>
      <c r="F222" s="135">
        <f>((D163*(1-'5.Closing Stock &amp; W Capital'!$D$16))+(C163*'5.Closing Stock &amp; W Capital'!$D$16))*$C222*F$172</f>
        <v>0</v>
      </c>
      <c r="G222" s="135">
        <f>((E163*(1-'5.Closing Stock &amp; W Capital'!$D$16))+(D163*'5.Closing Stock &amp; W Capital'!$D$16))*$C222*G$172</f>
        <v>0</v>
      </c>
      <c r="H222" s="135">
        <f>((F163*(1-'5.Closing Stock &amp; W Capital'!$D$16))+(E163*'5.Closing Stock &amp; W Capital'!$D$16))*$C222*H$172</f>
        <v>0</v>
      </c>
      <c r="I222" s="135">
        <f>((G163*(1-'5.Closing Stock &amp; W Capital'!$D$16))+(F163*'5.Closing Stock &amp; W Capital'!$D$16))*$C222*I$172</f>
        <v>0</v>
      </c>
      <c r="J222" s="135">
        <f>((H163*(1-'5.Closing Stock &amp; W Capital'!$D$16))+(G163*'5.Closing Stock &amp; W Capital'!$D$16))*$C222*J$172</f>
        <v>0</v>
      </c>
    </row>
    <row r="223" spans="1:10" ht="14.45" hidden="1" x14ac:dyDescent="0.35">
      <c r="A223" s="78">
        <f t="shared" si="36"/>
        <v>0</v>
      </c>
      <c r="B223" s="47" t="s">
        <v>343</v>
      </c>
      <c r="C223" s="99"/>
      <c r="D223" s="135">
        <f>(B164*(1-'5.Closing Stock &amp; W Capital'!$D$16))*$C223*D$172</f>
        <v>0</v>
      </c>
      <c r="E223" s="135">
        <f>((C164*(1-'5.Closing Stock &amp; W Capital'!$D$16))+(B164*'5.Closing Stock &amp; W Capital'!$D$16))*$C223*E$172</f>
        <v>0</v>
      </c>
      <c r="F223" s="135">
        <f>((D164*(1-'5.Closing Stock &amp; W Capital'!$D$16))+(C164*'5.Closing Stock &amp; W Capital'!$D$16))*$C223*F$172</f>
        <v>0</v>
      </c>
      <c r="G223" s="135">
        <f>((E164*(1-'5.Closing Stock &amp; W Capital'!$D$16))+(D164*'5.Closing Stock &amp; W Capital'!$D$16))*$C223*G$172</f>
        <v>0</v>
      </c>
      <c r="H223" s="135">
        <f>((F164*(1-'5.Closing Stock &amp; W Capital'!$D$16))+(E164*'5.Closing Stock &amp; W Capital'!$D$16))*$C223*H$172</f>
        <v>0</v>
      </c>
      <c r="I223" s="135">
        <f>((G164*(1-'5.Closing Stock &amp; W Capital'!$D$16))+(F164*'5.Closing Stock &amp; W Capital'!$D$16))*$C223*I$172</f>
        <v>0</v>
      </c>
      <c r="J223" s="135">
        <f>((H164*(1-'5.Closing Stock &amp; W Capital'!$D$16))+(G164*'5.Closing Stock &amp; W Capital'!$D$16))*$C223*J$172</f>
        <v>0</v>
      </c>
    </row>
    <row r="224" spans="1:10" ht="14.45" hidden="1" x14ac:dyDescent="0.35">
      <c r="A224" s="78" t="str">
        <f t="shared" ref="A224:A227" si="37">A165</f>
        <v>Pomegranate</v>
      </c>
      <c r="B224" s="47" t="s">
        <v>343</v>
      </c>
      <c r="C224" s="99">
        <v>5000</v>
      </c>
      <c r="D224" s="135">
        <f>(B165*(1-'5.Closing Stock &amp; W Capital'!$D$16))*$C224*D$172</f>
        <v>0</v>
      </c>
      <c r="E224" s="135">
        <f>((C165*(1-'5.Closing Stock &amp; W Capital'!$D$16))+(B165*'5.Closing Stock &amp; W Capital'!$D$16))*$C224*E$172</f>
        <v>0</v>
      </c>
      <c r="F224" s="135">
        <f>((D165*(1-'5.Closing Stock &amp; W Capital'!$D$16))+(C165*'5.Closing Stock &amp; W Capital'!$D$16))*$C224*F$172</f>
        <v>0</v>
      </c>
      <c r="G224" s="135">
        <f>((E165*(1-'5.Closing Stock &amp; W Capital'!$D$16))+(D165*'5.Closing Stock &amp; W Capital'!$D$16))*$C224*G$172</f>
        <v>0</v>
      </c>
      <c r="H224" s="135">
        <f>((F165*(1-'5.Closing Stock &amp; W Capital'!$D$16))+(E165*'5.Closing Stock &amp; W Capital'!$D$16))*$C224*H$172</f>
        <v>0</v>
      </c>
      <c r="I224" s="135">
        <f>((G165*(1-'5.Closing Stock &amp; W Capital'!$D$16))+(F165*'5.Closing Stock &amp; W Capital'!$D$16))*$C224*I$172</f>
        <v>0</v>
      </c>
      <c r="J224" s="135">
        <f>((H165*(1-'5.Closing Stock &amp; W Capital'!$D$16))+(G165*'5.Closing Stock &amp; W Capital'!$D$16))*$C224*J$172</f>
        <v>0</v>
      </c>
    </row>
    <row r="225" spans="1:10" ht="14.45" hidden="1" x14ac:dyDescent="0.35">
      <c r="A225" s="78" t="str">
        <f t="shared" si="37"/>
        <v>Custard Apple</v>
      </c>
      <c r="B225" s="47" t="s">
        <v>343</v>
      </c>
      <c r="C225" s="99"/>
      <c r="D225" s="135">
        <f>(B166*(1-'5.Closing Stock &amp; W Capital'!$D$16))*$C225*D$172</f>
        <v>0</v>
      </c>
      <c r="E225" s="135">
        <f>((C166*(1-'5.Closing Stock &amp; W Capital'!$D$16))+(B166*'5.Closing Stock &amp; W Capital'!$D$16))*$C225*E$172</f>
        <v>0</v>
      </c>
      <c r="F225" s="135">
        <f>((D166*(1-'5.Closing Stock &amp; W Capital'!$D$16))+(C166*'5.Closing Stock &amp; W Capital'!$D$16))*$C225*F$172</f>
        <v>0</v>
      </c>
      <c r="G225" s="135">
        <f>((E166*(1-'5.Closing Stock &amp; W Capital'!$D$16))+(D166*'5.Closing Stock &amp; W Capital'!$D$16))*$C225*G$172</f>
        <v>0</v>
      </c>
      <c r="H225" s="135">
        <f>((F166*(1-'5.Closing Stock &amp; W Capital'!$D$16))+(E166*'5.Closing Stock &amp; W Capital'!$D$16))*$C225*H$172</f>
        <v>0</v>
      </c>
      <c r="I225" s="135">
        <f>((G166*(1-'5.Closing Stock &amp; W Capital'!$D$16))+(F166*'5.Closing Stock &amp; W Capital'!$D$16))*$C225*I$172</f>
        <v>0</v>
      </c>
      <c r="J225" s="135">
        <f>((H166*(1-'5.Closing Stock &amp; W Capital'!$D$16))+(G166*'5.Closing Stock &amp; W Capital'!$D$16))*$C225*J$172</f>
        <v>0</v>
      </c>
    </row>
    <row r="226" spans="1:10" ht="14.45" hidden="1" x14ac:dyDescent="0.35">
      <c r="A226" s="78" t="str">
        <f t="shared" si="37"/>
        <v>Guava</v>
      </c>
      <c r="B226" s="47" t="s">
        <v>343</v>
      </c>
      <c r="C226" s="99"/>
      <c r="D226" s="135">
        <f>(B167*(1-'5.Closing Stock &amp; W Capital'!$D$16))*$C226*D$172</f>
        <v>0</v>
      </c>
      <c r="E226" s="135">
        <f>((C167*(1-'5.Closing Stock &amp; W Capital'!$D$16))+(B167*'5.Closing Stock &amp; W Capital'!$D$16))*$C226*E$172</f>
        <v>0</v>
      </c>
      <c r="F226" s="135">
        <f>((D167*(1-'5.Closing Stock &amp; W Capital'!$D$16))+(C167*'5.Closing Stock &amp; W Capital'!$D$16))*$C226*F$172</f>
        <v>0</v>
      </c>
      <c r="G226" s="135">
        <f>((E167*(1-'5.Closing Stock &amp; W Capital'!$D$16))+(D167*'5.Closing Stock &amp; W Capital'!$D$16))*$C226*G$172</f>
        <v>0</v>
      </c>
      <c r="H226" s="135">
        <f>((F167*(1-'5.Closing Stock &amp; W Capital'!$D$16))+(E167*'5.Closing Stock &amp; W Capital'!$D$16))*$C226*H$172</f>
        <v>0</v>
      </c>
      <c r="I226" s="135">
        <f>((G167*(1-'5.Closing Stock &amp; W Capital'!$D$16))+(F167*'5.Closing Stock &amp; W Capital'!$D$16))*$C226*I$172</f>
        <v>0</v>
      </c>
      <c r="J226" s="135">
        <f>((H167*(1-'5.Closing Stock &amp; W Capital'!$D$16))+(G167*'5.Closing Stock &amp; W Capital'!$D$16))*$C226*J$172</f>
        <v>0</v>
      </c>
    </row>
    <row r="227" spans="1:10" ht="14.45" hidden="1" x14ac:dyDescent="0.35">
      <c r="A227" s="78" t="str">
        <f t="shared" si="37"/>
        <v>Citrus</v>
      </c>
      <c r="B227" s="47" t="s">
        <v>343</v>
      </c>
      <c r="C227" s="99"/>
      <c r="D227" s="135">
        <f>(B168*(1-'5.Closing Stock &amp; W Capital'!$D$16))*$C227*D$172</f>
        <v>0</v>
      </c>
      <c r="E227" s="135">
        <f>((C168*(1-'5.Closing Stock &amp; W Capital'!$D$16))+(B168*'5.Closing Stock &amp; W Capital'!$D$16))*$C227*E$172</f>
        <v>0</v>
      </c>
      <c r="F227" s="135">
        <f>((D168*(1-'5.Closing Stock &amp; W Capital'!$D$16))+(C168*'5.Closing Stock &amp; W Capital'!$D$16))*$C227*F$172</f>
        <v>0</v>
      </c>
      <c r="G227" s="135">
        <f>((E168*(1-'5.Closing Stock &amp; W Capital'!$D$16))+(D168*'5.Closing Stock &amp; W Capital'!$D$16))*$C227*G$172</f>
        <v>0</v>
      </c>
      <c r="H227" s="135">
        <f>((F168*(1-'5.Closing Stock &amp; W Capital'!$D$16))+(E168*'5.Closing Stock &amp; W Capital'!$D$16))*$C227*H$172</f>
        <v>0</v>
      </c>
      <c r="I227" s="135">
        <f>((G168*(1-'5.Closing Stock &amp; W Capital'!$D$16))+(F168*'5.Closing Stock &amp; W Capital'!$D$16))*$C227*I$172</f>
        <v>0</v>
      </c>
      <c r="J227" s="135">
        <f>((H168*(1-'5.Closing Stock &amp; W Capital'!$D$16))+(G168*'5.Closing Stock &amp; W Capital'!$D$16))*$C227*J$172</f>
        <v>0</v>
      </c>
    </row>
    <row r="228" spans="1:10" ht="14.45" hidden="1" x14ac:dyDescent="0.35">
      <c r="A228" s="78"/>
      <c r="B228" s="78"/>
      <c r="C228" s="78"/>
      <c r="D228" s="47"/>
      <c r="E228" s="47"/>
      <c r="F228" s="47"/>
      <c r="G228" s="47"/>
      <c r="H228" s="47"/>
      <c r="I228" s="47"/>
      <c r="J228" s="47"/>
    </row>
    <row r="229" spans="1:10" x14ac:dyDescent="0.25">
      <c r="A229" s="78" t="s">
        <v>142</v>
      </c>
      <c r="B229" s="78"/>
      <c r="C229" s="78"/>
      <c r="D229" s="137">
        <f t="shared" ref="D229:J229" si="38">SUM(D178:D228)</f>
        <v>18641782.838000003</v>
      </c>
      <c r="E229" s="137">
        <f t="shared" si="38"/>
        <v>23675038.597980004</v>
      </c>
      <c r="F229" s="137">
        <f t="shared" si="38"/>
        <v>29008446.010298997</v>
      </c>
      <c r="G229" s="137">
        <f t="shared" si="38"/>
        <v>34816006.567354955</v>
      </c>
      <c r="H229" s="137">
        <f t="shared" si="38"/>
        <v>41131802.065090761</v>
      </c>
      <c r="I229" s="137">
        <f t="shared" si="38"/>
        <v>47992137.096181743</v>
      </c>
      <c r="J229" s="137">
        <f t="shared" si="38"/>
        <v>55435676.125219107</v>
      </c>
    </row>
    <row r="230" spans="1:10" x14ac:dyDescent="0.25">
      <c r="A230" s="47"/>
      <c r="B230" s="47"/>
      <c r="C230" s="47"/>
      <c r="D230" s="47"/>
      <c r="E230" s="47"/>
      <c r="F230" s="47"/>
      <c r="G230" s="47"/>
      <c r="H230" s="47"/>
      <c r="I230" s="47"/>
      <c r="J230" s="47"/>
    </row>
    <row r="231" spans="1:10" x14ac:dyDescent="0.25">
      <c r="A231" s="78" t="s">
        <v>141</v>
      </c>
      <c r="B231" s="78"/>
      <c r="C231" s="78"/>
      <c r="D231" s="47"/>
      <c r="E231" s="47"/>
      <c r="F231" s="47"/>
      <c r="G231" s="47"/>
      <c r="H231" s="47"/>
      <c r="I231" s="47"/>
      <c r="J231" s="47"/>
    </row>
    <row r="232" spans="1:10" x14ac:dyDescent="0.25">
      <c r="A232" s="78" t="s">
        <v>295</v>
      </c>
      <c r="B232" s="78"/>
      <c r="C232" s="47"/>
      <c r="D232" s="47"/>
      <c r="E232" s="47"/>
      <c r="F232" s="47"/>
      <c r="G232" s="47"/>
      <c r="H232" s="47"/>
      <c r="I232" s="47"/>
      <c r="J232" s="47"/>
    </row>
    <row r="233" spans="1:10" x14ac:dyDescent="0.25">
      <c r="A233" s="47" t="str">
        <f t="shared" ref="A233:A254" si="39">A178</f>
        <v>Maize</v>
      </c>
      <c r="B233" s="47" t="s">
        <v>343</v>
      </c>
      <c r="C233" s="97">
        <v>1800</v>
      </c>
      <c r="D233" s="82">
        <f>B68*$C$233*D$172</f>
        <v>2806650.0000000005</v>
      </c>
      <c r="E233" s="82">
        <f>C68*$C$233*E$172</f>
        <v>3536379.0000000005</v>
      </c>
      <c r="F233" s="82">
        <f>D68*$C$233*F172</f>
        <v>4332064.2750000004</v>
      </c>
      <c r="G233" s="82">
        <f>E68*$C$233*G172</f>
        <v>5198477.1300000008</v>
      </c>
      <c r="H233" s="82">
        <f>F68*$C$233*H172</f>
        <v>6140701.1098125009</v>
      </c>
      <c r="I233" s="82">
        <f>G68*$C$233*I172</f>
        <v>7164151.2947812509</v>
      </c>
      <c r="J233" s="82">
        <f>H68*$C$233*J172</f>
        <v>8274594.7454723455</v>
      </c>
    </row>
    <row r="234" spans="1:10" x14ac:dyDescent="0.25">
      <c r="A234" s="47" t="str">
        <f t="shared" si="39"/>
        <v>Red Gram/Tur</v>
      </c>
      <c r="B234" s="47" t="s">
        <v>343</v>
      </c>
      <c r="C234" s="97">
        <v>5800</v>
      </c>
      <c r="D234" s="82">
        <f>B69*$C$234*D$172</f>
        <v>4823280.0000000009</v>
      </c>
      <c r="E234" s="82">
        <f t="shared" ref="E234:J234" si="40">C69*$C$234*E172</f>
        <v>6077332.8000000017</v>
      </c>
      <c r="F234" s="82">
        <f t="shared" si="40"/>
        <v>7444732.6800000006</v>
      </c>
      <c r="G234" s="82">
        <f t="shared" si="40"/>
        <v>8933679.2160000019</v>
      </c>
      <c r="H234" s="82">
        <f t="shared" si="40"/>
        <v>10552908.573900001</v>
      </c>
      <c r="I234" s="82">
        <f t="shared" si="40"/>
        <v>12311726.669550003</v>
      </c>
      <c r="J234" s="82">
        <f t="shared" si="40"/>
        <v>14220044.303330258</v>
      </c>
    </row>
    <row r="235" spans="1:10" x14ac:dyDescent="0.25">
      <c r="A235" s="47" t="str">
        <f t="shared" si="39"/>
        <v>Bajra</v>
      </c>
      <c r="B235" s="47" t="s">
        <v>343</v>
      </c>
      <c r="C235" s="97">
        <v>1800</v>
      </c>
      <c r="D235" s="82">
        <f>B70*$C$235*D$172</f>
        <v>740880.00000000012</v>
      </c>
      <c r="E235" s="82">
        <f t="shared" ref="E235:J235" si="41">C70*$C$235*E172</f>
        <v>933508.8</v>
      </c>
      <c r="F235" s="82">
        <f t="shared" si="41"/>
        <v>1143548.2800000003</v>
      </c>
      <c r="G235" s="82">
        <f t="shared" si="41"/>
        <v>1372257.9360000002</v>
      </c>
      <c r="H235" s="82">
        <f t="shared" si="41"/>
        <v>1620979.6869000006</v>
      </c>
      <c r="I235" s="82">
        <f t="shared" si="41"/>
        <v>1891142.9680500003</v>
      </c>
      <c r="J235" s="82">
        <f t="shared" si="41"/>
        <v>2184270.1280977507</v>
      </c>
    </row>
    <row r="236" spans="1:10" ht="14.45" hidden="1" x14ac:dyDescent="0.35">
      <c r="A236" s="47">
        <f t="shared" si="39"/>
        <v>0</v>
      </c>
      <c r="B236" s="47" t="s">
        <v>343</v>
      </c>
      <c r="C236" s="97"/>
      <c r="D236" s="82">
        <f t="shared" ref="D236:J236" si="42">B71*$C$236*D$172</f>
        <v>0</v>
      </c>
      <c r="E236" s="82">
        <f t="shared" si="42"/>
        <v>0</v>
      </c>
      <c r="F236" s="82">
        <f t="shared" si="42"/>
        <v>0</v>
      </c>
      <c r="G236" s="82">
        <f t="shared" si="42"/>
        <v>0</v>
      </c>
      <c r="H236" s="82">
        <f t="shared" si="42"/>
        <v>0</v>
      </c>
      <c r="I236" s="82">
        <f t="shared" si="42"/>
        <v>0</v>
      </c>
      <c r="J236" s="82">
        <f t="shared" si="42"/>
        <v>0</v>
      </c>
    </row>
    <row r="237" spans="1:10" ht="14.45" hidden="1" x14ac:dyDescent="0.35">
      <c r="A237" s="47">
        <f t="shared" si="39"/>
        <v>0</v>
      </c>
      <c r="B237" s="47" t="s">
        <v>343</v>
      </c>
      <c r="C237" s="97"/>
      <c r="D237" s="82">
        <f t="shared" ref="D237:J237" si="43">B72*$C$237*D$172</f>
        <v>0</v>
      </c>
      <c r="E237" s="82">
        <f t="shared" si="43"/>
        <v>0</v>
      </c>
      <c r="F237" s="82">
        <f t="shared" si="43"/>
        <v>0</v>
      </c>
      <c r="G237" s="82">
        <f t="shared" si="43"/>
        <v>0</v>
      </c>
      <c r="H237" s="82">
        <f t="shared" si="43"/>
        <v>0</v>
      </c>
      <c r="I237" s="82">
        <f t="shared" si="43"/>
        <v>0</v>
      </c>
      <c r="J237" s="82">
        <f t="shared" si="43"/>
        <v>0</v>
      </c>
    </row>
    <row r="238" spans="1:10" ht="14.45" hidden="1" x14ac:dyDescent="0.35">
      <c r="A238" s="47">
        <f t="shared" si="39"/>
        <v>0</v>
      </c>
      <c r="B238" s="47" t="s">
        <v>343</v>
      </c>
      <c r="C238" s="97"/>
      <c r="D238" s="82">
        <f t="shared" ref="D238:J238" si="44">B73*$C$238*D$172</f>
        <v>0</v>
      </c>
      <c r="E238" s="82">
        <f t="shared" si="44"/>
        <v>0</v>
      </c>
      <c r="F238" s="82">
        <f t="shared" si="44"/>
        <v>0</v>
      </c>
      <c r="G238" s="82">
        <f t="shared" si="44"/>
        <v>0</v>
      </c>
      <c r="H238" s="82">
        <f t="shared" si="44"/>
        <v>0</v>
      </c>
      <c r="I238" s="82">
        <f t="shared" si="44"/>
        <v>0</v>
      </c>
      <c r="J238" s="82">
        <f t="shared" si="44"/>
        <v>0</v>
      </c>
    </row>
    <row r="239" spans="1:10" ht="14.45" hidden="1" x14ac:dyDescent="0.35">
      <c r="A239" s="47">
        <f t="shared" si="39"/>
        <v>0</v>
      </c>
      <c r="B239" s="47" t="s">
        <v>343</v>
      </c>
      <c r="C239" s="97"/>
      <c r="D239" s="82">
        <f t="shared" ref="D239:J239" si="45">B74*$C$239*D$172</f>
        <v>0</v>
      </c>
      <c r="E239" s="82">
        <f t="shared" si="45"/>
        <v>0</v>
      </c>
      <c r="F239" s="82">
        <f t="shared" si="45"/>
        <v>0</v>
      </c>
      <c r="G239" s="82">
        <f t="shared" si="45"/>
        <v>0</v>
      </c>
      <c r="H239" s="82">
        <f t="shared" si="45"/>
        <v>0</v>
      </c>
      <c r="I239" s="82">
        <f t="shared" si="45"/>
        <v>0</v>
      </c>
      <c r="J239" s="82">
        <f t="shared" si="45"/>
        <v>0</v>
      </c>
    </row>
    <row r="240" spans="1:10" ht="14.45" hidden="1" x14ac:dyDescent="0.35">
      <c r="A240" s="47">
        <f t="shared" si="39"/>
        <v>0</v>
      </c>
      <c r="B240" s="47" t="s">
        <v>343</v>
      </c>
      <c r="C240" s="97"/>
      <c r="D240" s="82">
        <f t="shared" ref="D240:J240" si="46">B75*$C$240*D$172</f>
        <v>0</v>
      </c>
      <c r="E240" s="82">
        <f t="shared" si="46"/>
        <v>0</v>
      </c>
      <c r="F240" s="82">
        <f t="shared" si="46"/>
        <v>0</v>
      </c>
      <c r="G240" s="82">
        <f t="shared" si="46"/>
        <v>0</v>
      </c>
      <c r="H240" s="82">
        <f t="shared" si="46"/>
        <v>0</v>
      </c>
      <c r="I240" s="82">
        <f t="shared" si="46"/>
        <v>0</v>
      </c>
      <c r="J240" s="82">
        <f t="shared" si="46"/>
        <v>0</v>
      </c>
    </row>
    <row r="241" spans="1:10" ht="14.45" hidden="1" x14ac:dyDescent="0.35">
      <c r="A241" s="47">
        <f t="shared" si="39"/>
        <v>0</v>
      </c>
      <c r="B241" s="47" t="s">
        <v>343</v>
      </c>
      <c r="C241" s="97"/>
      <c r="D241" s="82">
        <f t="shared" ref="D241:J241" si="47">B76*$C$241*D$172</f>
        <v>0</v>
      </c>
      <c r="E241" s="82">
        <f t="shared" si="47"/>
        <v>0</v>
      </c>
      <c r="F241" s="82">
        <f t="shared" si="47"/>
        <v>0</v>
      </c>
      <c r="G241" s="82">
        <f t="shared" si="47"/>
        <v>0</v>
      </c>
      <c r="H241" s="82">
        <f t="shared" si="47"/>
        <v>0</v>
      </c>
      <c r="I241" s="82">
        <f t="shared" si="47"/>
        <v>0</v>
      </c>
      <c r="J241" s="82">
        <f t="shared" si="47"/>
        <v>0</v>
      </c>
    </row>
    <row r="242" spans="1:10" x14ac:dyDescent="0.25">
      <c r="A242" s="47" t="str">
        <f t="shared" si="39"/>
        <v>Wheat</v>
      </c>
      <c r="B242" s="47" t="s">
        <v>343</v>
      </c>
      <c r="C242" s="97">
        <v>2000</v>
      </c>
      <c r="D242" s="82">
        <f t="shared" ref="D242:J242" si="48">B77*$C$242*D$172</f>
        <v>987840.00000000012</v>
      </c>
      <c r="E242" s="82">
        <f t="shared" si="48"/>
        <v>1244678.4000000004</v>
      </c>
      <c r="F242" s="82">
        <f t="shared" si="48"/>
        <v>1524731.0400000003</v>
      </c>
      <c r="G242" s="82">
        <f t="shared" si="48"/>
        <v>1829677.2480000001</v>
      </c>
      <c r="H242" s="82">
        <f t="shared" si="48"/>
        <v>2161306.2492000009</v>
      </c>
      <c r="I242" s="82">
        <f t="shared" si="48"/>
        <v>2521523.9574000007</v>
      </c>
      <c r="J242" s="82">
        <f t="shared" si="48"/>
        <v>2912360.1707970016</v>
      </c>
    </row>
    <row r="243" spans="1:10" x14ac:dyDescent="0.25">
      <c r="A243" s="47" t="str">
        <f t="shared" si="39"/>
        <v>Bengal Gram/Channa</v>
      </c>
      <c r="B243" s="47" t="s">
        <v>343</v>
      </c>
      <c r="C243" s="97">
        <v>4800</v>
      </c>
      <c r="D243" s="82">
        <f t="shared" ref="D243:J243" si="49">B78*$C$243*D$172</f>
        <v>4470681.6000000006</v>
      </c>
      <c r="E243" s="82">
        <f t="shared" si="49"/>
        <v>5633058.8160000015</v>
      </c>
      <c r="F243" s="82">
        <f t="shared" si="49"/>
        <v>6900497.0495999996</v>
      </c>
      <c r="G243" s="82">
        <f t="shared" si="49"/>
        <v>8280596.4595200019</v>
      </c>
      <c r="H243" s="82">
        <f t="shared" si="49"/>
        <v>9781454.5678080022</v>
      </c>
      <c r="I243" s="82">
        <f t="shared" si="49"/>
        <v>11411696.995776001</v>
      </c>
      <c r="J243" s="82">
        <f t="shared" si="49"/>
        <v>13180510.030121284</v>
      </c>
    </row>
    <row r="244" spans="1:10" x14ac:dyDescent="0.25">
      <c r="A244" s="47" t="str">
        <f t="shared" si="39"/>
        <v>Jawar</v>
      </c>
      <c r="B244" s="47" t="s">
        <v>343</v>
      </c>
      <c r="C244" s="97">
        <v>2500</v>
      </c>
      <c r="D244" s="82">
        <f t="shared" ref="D244:J244" si="50">B79*$C$244*D$172</f>
        <v>1234800.0000000002</v>
      </c>
      <c r="E244" s="82">
        <f t="shared" si="50"/>
        <v>1555848.0000000002</v>
      </c>
      <c r="F244" s="82">
        <f t="shared" si="50"/>
        <v>1905913.8000000005</v>
      </c>
      <c r="G244" s="82">
        <f t="shared" si="50"/>
        <v>2287096.5600000005</v>
      </c>
      <c r="H244" s="82">
        <f t="shared" si="50"/>
        <v>2701632.8115000012</v>
      </c>
      <c r="I244" s="82">
        <f t="shared" si="50"/>
        <v>3151904.9467500011</v>
      </c>
      <c r="J244" s="82">
        <f t="shared" si="50"/>
        <v>3640450.213496252</v>
      </c>
    </row>
    <row r="245" spans="1:10" x14ac:dyDescent="0.25">
      <c r="A245" s="47" t="str">
        <f t="shared" si="39"/>
        <v>Maize</v>
      </c>
      <c r="B245" s="47" t="s">
        <v>343</v>
      </c>
      <c r="C245" s="97">
        <v>1800</v>
      </c>
      <c r="D245" s="82">
        <f t="shared" ref="D245:J245" si="51">B80*$C$245*D$172</f>
        <v>1796256.0000000002</v>
      </c>
      <c r="E245" s="82">
        <f t="shared" si="51"/>
        <v>2263282.5600000005</v>
      </c>
      <c r="F245" s="82">
        <f t="shared" si="51"/>
        <v>2772521.1360000004</v>
      </c>
      <c r="G245" s="82">
        <f t="shared" si="51"/>
        <v>3327025.363200001</v>
      </c>
      <c r="H245" s="82">
        <f t="shared" si="51"/>
        <v>3930048.7102800012</v>
      </c>
      <c r="I245" s="82">
        <f t="shared" si="51"/>
        <v>4585056.828660002</v>
      </c>
      <c r="J245" s="82">
        <f t="shared" si="51"/>
        <v>5295740.6371023022</v>
      </c>
    </row>
    <row r="246" spans="1:10" ht="14.45" hidden="1" x14ac:dyDescent="0.35">
      <c r="A246" s="47">
        <f t="shared" si="39"/>
        <v>0</v>
      </c>
      <c r="B246" s="47" t="s">
        <v>343</v>
      </c>
      <c r="C246" s="97"/>
      <c r="D246" s="82">
        <f t="shared" ref="D246:J246" si="52">B81*$C$246*D$172</f>
        <v>0</v>
      </c>
      <c r="E246" s="82">
        <f t="shared" si="52"/>
        <v>0</v>
      </c>
      <c r="F246" s="82">
        <f t="shared" si="52"/>
        <v>0</v>
      </c>
      <c r="G246" s="82">
        <f t="shared" si="52"/>
        <v>0</v>
      </c>
      <c r="H246" s="82">
        <f t="shared" si="52"/>
        <v>0</v>
      </c>
      <c r="I246" s="82">
        <f t="shared" si="52"/>
        <v>0</v>
      </c>
      <c r="J246" s="82">
        <f t="shared" si="52"/>
        <v>0</v>
      </c>
    </row>
    <row r="247" spans="1:10" ht="14.45" hidden="1" x14ac:dyDescent="0.35">
      <c r="A247" s="47">
        <f t="shared" si="39"/>
        <v>0</v>
      </c>
      <c r="B247" s="47" t="s">
        <v>343</v>
      </c>
      <c r="C247" s="97"/>
      <c r="D247" s="82">
        <f t="shared" ref="D247:J247" si="53">B82*$C$247*D$172</f>
        <v>0</v>
      </c>
      <c r="E247" s="82">
        <f t="shared" si="53"/>
        <v>0</v>
      </c>
      <c r="F247" s="82">
        <f t="shared" si="53"/>
        <v>0</v>
      </c>
      <c r="G247" s="82">
        <f t="shared" si="53"/>
        <v>0</v>
      </c>
      <c r="H247" s="82">
        <f t="shared" si="53"/>
        <v>0</v>
      </c>
      <c r="I247" s="82">
        <f t="shared" si="53"/>
        <v>0</v>
      </c>
      <c r="J247" s="82">
        <f t="shared" si="53"/>
        <v>0</v>
      </c>
    </row>
    <row r="248" spans="1:10" ht="14.45" hidden="1" x14ac:dyDescent="0.35">
      <c r="A248" s="47">
        <f t="shared" si="39"/>
        <v>0</v>
      </c>
      <c r="B248" s="47" t="s">
        <v>343</v>
      </c>
      <c r="C248" s="97"/>
      <c r="D248" s="82">
        <f t="shared" ref="D248:J248" si="54">B83*$C$248*D$172</f>
        <v>0</v>
      </c>
      <c r="E248" s="82">
        <f t="shared" si="54"/>
        <v>0</v>
      </c>
      <c r="F248" s="82">
        <f t="shared" si="54"/>
        <v>0</v>
      </c>
      <c r="G248" s="82">
        <f t="shared" si="54"/>
        <v>0</v>
      </c>
      <c r="H248" s="82">
        <f t="shared" si="54"/>
        <v>0</v>
      </c>
      <c r="I248" s="82">
        <f t="shared" si="54"/>
        <v>0</v>
      </c>
      <c r="J248" s="82">
        <f t="shared" si="54"/>
        <v>0</v>
      </c>
    </row>
    <row r="249" spans="1:10" ht="14.45" hidden="1" x14ac:dyDescent="0.35">
      <c r="A249" s="47">
        <f t="shared" si="39"/>
        <v>0</v>
      </c>
      <c r="B249" s="47" t="s">
        <v>343</v>
      </c>
      <c r="C249" s="97"/>
      <c r="D249" s="82">
        <f t="shared" ref="D249:J255" si="55">B84*$C249*D$172</f>
        <v>0</v>
      </c>
      <c r="E249" s="82">
        <f t="shared" si="55"/>
        <v>0</v>
      </c>
      <c r="F249" s="82">
        <f t="shared" si="55"/>
        <v>0</v>
      </c>
      <c r="G249" s="82">
        <f t="shared" si="55"/>
        <v>0</v>
      </c>
      <c r="H249" s="82">
        <f t="shared" si="55"/>
        <v>0</v>
      </c>
      <c r="I249" s="82">
        <f t="shared" si="55"/>
        <v>0</v>
      </c>
      <c r="J249" s="82">
        <f t="shared" si="55"/>
        <v>0</v>
      </c>
    </row>
    <row r="250" spans="1:10" ht="14.45" hidden="1" x14ac:dyDescent="0.35">
      <c r="A250" s="47">
        <f t="shared" si="39"/>
        <v>0</v>
      </c>
      <c r="B250" s="47" t="s">
        <v>343</v>
      </c>
      <c r="C250" s="97"/>
      <c r="D250" s="82">
        <f t="shared" si="55"/>
        <v>0</v>
      </c>
      <c r="E250" s="82">
        <f t="shared" si="55"/>
        <v>0</v>
      </c>
      <c r="F250" s="82">
        <f t="shared" si="55"/>
        <v>0</v>
      </c>
      <c r="G250" s="82">
        <f t="shared" si="55"/>
        <v>0</v>
      </c>
      <c r="H250" s="82">
        <f t="shared" si="55"/>
        <v>0</v>
      </c>
      <c r="I250" s="82">
        <f t="shared" si="55"/>
        <v>0</v>
      </c>
      <c r="J250" s="82">
        <f t="shared" si="55"/>
        <v>0</v>
      </c>
    </row>
    <row r="251" spans="1:10" ht="14.45" hidden="1" x14ac:dyDescent="0.35">
      <c r="A251" s="47">
        <f t="shared" si="39"/>
        <v>0</v>
      </c>
      <c r="B251" s="47" t="s">
        <v>343</v>
      </c>
      <c r="C251" s="97"/>
      <c r="D251" s="82">
        <f t="shared" si="55"/>
        <v>0</v>
      </c>
      <c r="E251" s="82">
        <f t="shared" si="55"/>
        <v>0</v>
      </c>
      <c r="F251" s="82">
        <f t="shared" si="55"/>
        <v>0</v>
      </c>
      <c r="G251" s="82">
        <f t="shared" si="55"/>
        <v>0</v>
      </c>
      <c r="H251" s="82">
        <f t="shared" si="55"/>
        <v>0</v>
      </c>
      <c r="I251" s="82">
        <f t="shared" si="55"/>
        <v>0</v>
      </c>
      <c r="J251" s="82">
        <f t="shared" si="55"/>
        <v>0</v>
      </c>
    </row>
    <row r="252" spans="1:10" ht="14.45" hidden="1" x14ac:dyDescent="0.35">
      <c r="A252" s="47">
        <f t="shared" si="39"/>
        <v>0</v>
      </c>
      <c r="B252" s="47" t="s">
        <v>343</v>
      </c>
      <c r="C252" s="97"/>
      <c r="D252" s="82">
        <f t="shared" si="55"/>
        <v>0</v>
      </c>
      <c r="E252" s="82">
        <f t="shared" si="55"/>
        <v>0</v>
      </c>
      <c r="F252" s="82">
        <f t="shared" si="55"/>
        <v>0</v>
      </c>
      <c r="G252" s="82">
        <f t="shared" si="55"/>
        <v>0</v>
      </c>
      <c r="H252" s="82">
        <f t="shared" si="55"/>
        <v>0</v>
      </c>
      <c r="I252" s="82">
        <f t="shared" si="55"/>
        <v>0</v>
      </c>
      <c r="J252" s="82">
        <f t="shared" si="55"/>
        <v>0</v>
      </c>
    </row>
    <row r="253" spans="1:10" ht="14.45" hidden="1" x14ac:dyDescent="0.35">
      <c r="A253" s="47">
        <f t="shared" si="39"/>
        <v>0</v>
      </c>
      <c r="B253" s="47" t="s">
        <v>343</v>
      </c>
      <c r="C253" s="97"/>
      <c r="D253" s="82">
        <f t="shared" si="55"/>
        <v>0</v>
      </c>
      <c r="E253" s="82">
        <f t="shared" si="55"/>
        <v>0</v>
      </c>
      <c r="F253" s="82">
        <f t="shared" si="55"/>
        <v>0</v>
      </c>
      <c r="G253" s="82">
        <f t="shared" si="55"/>
        <v>0</v>
      </c>
      <c r="H253" s="82">
        <f t="shared" si="55"/>
        <v>0</v>
      </c>
      <c r="I253" s="82">
        <f t="shared" si="55"/>
        <v>0</v>
      </c>
      <c r="J253" s="82">
        <f t="shared" si="55"/>
        <v>0</v>
      </c>
    </row>
    <row r="254" spans="1:10" ht="14.45" hidden="1" x14ac:dyDescent="0.35">
      <c r="A254" s="47">
        <f t="shared" si="39"/>
        <v>0</v>
      </c>
      <c r="B254" s="47" t="s">
        <v>343</v>
      </c>
      <c r="C254" s="97"/>
      <c r="D254" s="82">
        <f t="shared" si="55"/>
        <v>0</v>
      </c>
      <c r="E254" s="82">
        <f t="shared" si="55"/>
        <v>0</v>
      </c>
      <c r="F254" s="82">
        <f t="shared" si="55"/>
        <v>0</v>
      </c>
      <c r="G254" s="82">
        <f t="shared" si="55"/>
        <v>0</v>
      </c>
      <c r="H254" s="82">
        <f t="shared" si="55"/>
        <v>0</v>
      </c>
      <c r="I254" s="82">
        <f t="shared" si="55"/>
        <v>0</v>
      </c>
      <c r="J254" s="82">
        <f t="shared" si="55"/>
        <v>0</v>
      </c>
    </row>
    <row r="255" spans="1:10" ht="14.45" hidden="1" x14ac:dyDescent="0.35">
      <c r="A255" s="47">
        <f t="shared" ref="A255:A274" si="56">A201</f>
        <v>0</v>
      </c>
      <c r="B255" s="47"/>
      <c r="C255" s="97"/>
      <c r="D255" s="82">
        <f t="shared" si="55"/>
        <v>0</v>
      </c>
      <c r="E255" s="82">
        <f t="shared" si="55"/>
        <v>0</v>
      </c>
      <c r="F255" s="82">
        <f t="shared" si="55"/>
        <v>0</v>
      </c>
      <c r="G255" s="82">
        <f t="shared" si="55"/>
        <v>0</v>
      </c>
      <c r="H255" s="82">
        <f t="shared" si="55"/>
        <v>0</v>
      </c>
      <c r="I255" s="82">
        <f t="shared" si="55"/>
        <v>0</v>
      </c>
      <c r="J255" s="82">
        <f t="shared" si="55"/>
        <v>0</v>
      </c>
    </row>
    <row r="256" spans="1:10" ht="14.45" hidden="1" x14ac:dyDescent="0.35">
      <c r="A256" s="78" t="str">
        <f t="shared" si="56"/>
        <v>Fruit  &amp; Vegetables Crop Production Details</v>
      </c>
      <c r="B256" s="47"/>
      <c r="C256" s="97"/>
      <c r="D256" s="82"/>
      <c r="E256" s="82"/>
      <c r="F256" s="82"/>
      <c r="G256" s="82"/>
      <c r="H256" s="82"/>
      <c r="I256" s="82"/>
      <c r="J256" s="82"/>
    </row>
    <row r="257" spans="1:10" ht="14.45" hidden="1" x14ac:dyDescent="0.35">
      <c r="A257" s="47" t="str">
        <f t="shared" si="56"/>
        <v>Onion</v>
      </c>
      <c r="B257" s="47" t="s">
        <v>343</v>
      </c>
      <c r="C257" s="97">
        <v>1800</v>
      </c>
      <c r="D257" s="82">
        <f t="shared" ref="D257:D274" si="57">B92*$C257*D$172</f>
        <v>0</v>
      </c>
      <c r="E257" s="82">
        <f t="shared" ref="E257:E274" si="58">C92*$C257*E$172</f>
        <v>0</v>
      </c>
      <c r="F257" s="82">
        <f t="shared" ref="F257:F274" si="59">D92*$C257*F$172</f>
        <v>0</v>
      </c>
      <c r="G257" s="82">
        <f t="shared" ref="G257:G274" si="60">E92*$C257*G$172</f>
        <v>0</v>
      </c>
      <c r="H257" s="82">
        <f t="shared" ref="H257:H274" si="61">F92*$C257*H$172</f>
        <v>0</v>
      </c>
      <c r="I257" s="82">
        <f t="shared" ref="I257:I274" si="62">G92*$C257*I$172</f>
        <v>0</v>
      </c>
      <c r="J257" s="82">
        <f t="shared" ref="J257:J274" si="63">H92*$C257*J$172</f>
        <v>0</v>
      </c>
    </row>
    <row r="258" spans="1:10" ht="14.45" hidden="1" x14ac:dyDescent="0.35">
      <c r="A258" s="47" t="str">
        <f t="shared" si="56"/>
        <v>Tomato</v>
      </c>
      <c r="B258" s="47" t="s">
        <v>343</v>
      </c>
      <c r="C258" s="97">
        <v>800</v>
      </c>
      <c r="D258" s="82">
        <f t="shared" si="57"/>
        <v>0</v>
      </c>
      <c r="E258" s="82">
        <f t="shared" si="58"/>
        <v>0</v>
      </c>
      <c r="F258" s="82">
        <f t="shared" si="59"/>
        <v>0</v>
      </c>
      <c r="G258" s="82">
        <f t="shared" si="60"/>
        <v>0</v>
      </c>
      <c r="H258" s="82">
        <f t="shared" si="61"/>
        <v>0</v>
      </c>
      <c r="I258" s="82">
        <f t="shared" si="62"/>
        <v>0</v>
      </c>
      <c r="J258" s="82">
        <f t="shared" si="63"/>
        <v>0</v>
      </c>
    </row>
    <row r="259" spans="1:10" ht="14.45" hidden="1" x14ac:dyDescent="0.35">
      <c r="A259" s="47" t="str">
        <f t="shared" si="56"/>
        <v>Okra</v>
      </c>
      <c r="B259" s="47" t="s">
        <v>343</v>
      </c>
      <c r="C259" s="97">
        <v>1300</v>
      </c>
      <c r="D259" s="82">
        <f t="shared" si="57"/>
        <v>0</v>
      </c>
      <c r="E259" s="82">
        <f t="shared" si="58"/>
        <v>0</v>
      </c>
      <c r="F259" s="82">
        <f t="shared" si="59"/>
        <v>0</v>
      </c>
      <c r="G259" s="82">
        <f t="shared" si="60"/>
        <v>0</v>
      </c>
      <c r="H259" s="82">
        <f t="shared" si="61"/>
        <v>0</v>
      </c>
      <c r="I259" s="82">
        <f t="shared" si="62"/>
        <v>0</v>
      </c>
      <c r="J259" s="82">
        <f t="shared" si="63"/>
        <v>0</v>
      </c>
    </row>
    <row r="260" spans="1:10" ht="14.45" hidden="1" x14ac:dyDescent="0.35">
      <c r="A260" s="47" t="str">
        <f t="shared" si="56"/>
        <v>Chilli</v>
      </c>
      <c r="B260" s="47" t="s">
        <v>343</v>
      </c>
      <c r="C260" s="97">
        <v>2800</v>
      </c>
      <c r="D260" s="82">
        <f t="shared" si="57"/>
        <v>0</v>
      </c>
      <c r="E260" s="82">
        <f t="shared" si="58"/>
        <v>0</v>
      </c>
      <c r="F260" s="82">
        <f t="shared" si="59"/>
        <v>0</v>
      </c>
      <c r="G260" s="82">
        <f t="shared" si="60"/>
        <v>0</v>
      </c>
      <c r="H260" s="82">
        <f t="shared" si="61"/>
        <v>0</v>
      </c>
      <c r="I260" s="82">
        <f t="shared" si="62"/>
        <v>0</v>
      </c>
      <c r="J260" s="82">
        <f t="shared" si="63"/>
        <v>0</v>
      </c>
    </row>
    <row r="261" spans="1:10" ht="14.45" hidden="1" x14ac:dyDescent="0.35">
      <c r="A261" s="47" t="str">
        <f t="shared" si="56"/>
        <v>Potato</v>
      </c>
      <c r="B261" s="47" t="s">
        <v>343</v>
      </c>
      <c r="C261" s="97">
        <v>1300</v>
      </c>
      <c r="D261" s="82">
        <f t="shared" si="57"/>
        <v>0</v>
      </c>
      <c r="E261" s="82">
        <f t="shared" si="58"/>
        <v>0</v>
      </c>
      <c r="F261" s="82">
        <f t="shared" si="59"/>
        <v>0</v>
      </c>
      <c r="G261" s="82">
        <f t="shared" si="60"/>
        <v>0</v>
      </c>
      <c r="H261" s="82">
        <f t="shared" si="61"/>
        <v>0</v>
      </c>
      <c r="I261" s="82">
        <f t="shared" si="62"/>
        <v>0</v>
      </c>
      <c r="J261" s="82">
        <f t="shared" si="63"/>
        <v>0</v>
      </c>
    </row>
    <row r="262" spans="1:10" ht="14.45" hidden="1" x14ac:dyDescent="0.35">
      <c r="A262" s="47">
        <f t="shared" si="56"/>
        <v>0</v>
      </c>
      <c r="B262" s="47" t="s">
        <v>343</v>
      </c>
      <c r="C262" s="97"/>
      <c r="D262" s="82">
        <f t="shared" si="57"/>
        <v>0</v>
      </c>
      <c r="E262" s="82">
        <f t="shared" si="58"/>
        <v>0</v>
      </c>
      <c r="F262" s="82">
        <f t="shared" si="59"/>
        <v>0</v>
      </c>
      <c r="G262" s="82">
        <f t="shared" si="60"/>
        <v>0</v>
      </c>
      <c r="H262" s="82">
        <f t="shared" si="61"/>
        <v>0</v>
      </c>
      <c r="I262" s="82">
        <f t="shared" si="62"/>
        <v>0</v>
      </c>
      <c r="J262" s="82">
        <f t="shared" si="63"/>
        <v>0</v>
      </c>
    </row>
    <row r="263" spans="1:10" ht="14.45" hidden="1" x14ac:dyDescent="0.35">
      <c r="A263" s="47">
        <f t="shared" si="56"/>
        <v>0</v>
      </c>
      <c r="B263" s="47" t="s">
        <v>343</v>
      </c>
      <c r="C263" s="97"/>
      <c r="D263" s="82">
        <f t="shared" si="57"/>
        <v>0</v>
      </c>
      <c r="E263" s="82">
        <f t="shared" si="58"/>
        <v>0</v>
      </c>
      <c r="F263" s="82">
        <f t="shared" si="59"/>
        <v>0</v>
      </c>
      <c r="G263" s="82">
        <f t="shared" si="60"/>
        <v>0</v>
      </c>
      <c r="H263" s="82">
        <f t="shared" si="61"/>
        <v>0</v>
      </c>
      <c r="I263" s="82">
        <f t="shared" si="62"/>
        <v>0</v>
      </c>
      <c r="J263" s="82">
        <f t="shared" si="63"/>
        <v>0</v>
      </c>
    </row>
    <row r="264" spans="1:10" ht="14.45" hidden="1" x14ac:dyDescent="0.35">
      <c r="A264" s="47">
        <f t="shared" si="56"/>
        <v>0</v>
      </c>
      <c r="B264" s="47" t="s">
        <v>343</v>
      </c>
      <c r="C264" s="97"/>
      <c r="D264" s="82">
        <f t="shared" si="57"/>
        <v>0</v>
      </c>
      <c r="E264" s="82">
        <f t="shared" si="58"/>
        <v>0</v>
      </c>
      <c r="F264" s="82">
        <f t="shared" si="59"/>
        <v>0</v>
      </c>
      <c r="G264" s="82">
        <f t="shared" si="60"/>
        <v>0</v>
      </c>
      <c r="H264" s="82">
        <f t="shared" si="61"/>
        <v>0</v>
      </c>
      <c r="I264" s="82">
        <f t="shared" si="62"/>
        <v>0</v>
      </c>
      <c r="J264" s="82">
        <f t="shared" si="63"/>
        <v>0</v>
      </c>
    </row>
    <row r="265" spans="1:10" ht="14.45" hidden="1" x14ac:dyDescent="0.35">
      <c r="A265" s="47">
        <f t="shared" si="56"/>
        <v>0</v>
      </c>
      <c r="B265" s="47" t="s">
        <v>343</v>
      </c>
      <c r="C265" s="97"/>
      <c r="D265" s="82">
        <f t="shared" si="57"/>
        <v>0</v>
      </c>
      <c r="E265" s="82">
        <f t="shared" si="58"/>
        <v>0</v>
      </c>
      <c r="F265" s="82">
        <f t="shared" si="59"/>
        <v>0</v>
      </c>
      <c r="G265" s="82">
        <f t="shared" si="60"/>
        <v>0</v>
      </c>
      <c r="H265" s="82">
        <f t="shared" si="61"/>
        <v>0</v>
      </c>
      <c r="I265" s="82">
        <f t="shared" si="62"/>
        <v>0</v>
      </c>
      <c r="J265" s="82">
        <f t="shared" si="63"/>
        <v>0</v>
      </c>
    </row>
    <row r="266" spans="1:10" ht="14.45" hidden="1" x14ac:dyDescent="0.35">
      <c r="A266" s="47" t="str">
        <f t="shared" si="56"/>
        <v>Onion</v>
      </c>
      <c r="B266" s="47" t="s">
        <v>343</v>
      </c>
      <c r="C266" s="97">
        <v>1800</v>
      </c>
      <c r="D266" s="82">
        <f t="shared" si="57"/>
        <v>0</v>
      </c>
      <c r="E266" s="82">
        <f t="shared" si="58"/>
        <v>0</v>
      </c>
      <c r="F266" s="82">
        <f t="shared" si="59"/>
        <v>0</v>
      </c>
      <c r="G266" s="82">
        <f t="shared" si="60"/>
        <v>0</v>
      </c>
      <c r="H266" s="82">
        <f t="shared" si="61"/>
        <v>0</v>
      </c>
      <c r="I266" s="82">
        <f t="shared" si="62"/>
        <v>0</v>
      </c>
      <c r="J266" s="82">
        <f t="shared" si="63"/>
        <v>0</v>
      </c>
    </row>
    <row r="267" spans="1:10" ht="14.45" hidden="1" x14ac:dyDescent="0.35">
      <c r="A267" s="47" t="str">
        <f t="shared" si="56"/>
        <v>Tomato</v>
      </c>
      <c r="B267" s="47" t="s">
        <v>343</v>
      </c>
      <c r="C267" s="97">
        <v>800</v>
      </c>
      <c r="D267" s="82">
        <f t="shared" si="57"/>
        <v>0</v>
      </c>
      <c r="E267" s="82">
        <f t="shared" si="58"/>
        <v>0</v>
      </c>
      <c r="F267" s="82">
        <f t="shared" si="59"/>
        <v>0</v>
      </c>
      <c r="G267" s="82">
        <f t="shared" si="60"/>
        <v>0</v>
      </c>
      <c r="H267" s="82">
        <f t="shared" si="61"/>
        <v>0</v>
      </c>
      <c r="I267" s="82">
        <f t="shared" si="62"/>
        <v>0</v>
      </c>
      <c r="J267" s="82">
        <f t="shared" si="63"/>
        <v>0</v>
      </c>
    </row>
    <row r="268" spans="1:10" ht="14.45" hidden="1" x14ac:dyDescent="0.35">
      <c r="A268" s="47" t="str">
        <f t="shared" si="56"/>
        <v>Okra</v>
      </c>
      <c r="B268" s="47" t="s">
        <v>343</v>
      </c>
      <c r="C268" s="97">
        <v>1300</v>
      </c>
      <c r="D268" s="82">
        <f t="shared" si="57"/>
        <v>0</v>
      </c>
      <c r="E268" s="82">
        <f t="shared" si="58"/>
        <v>0</v>
      </c>
      <c r="F268" s="82">
        <f t="shared" si="59"/>
        <v>0</v>
      </c>
      <c r="G268" s="82">
        <f t="shared" si="60"/>
        <v>0</v>
      </c>
      <c r="H268" s="82">
        <f t="shared" si="61"/>
        <v>0</v>
      </c>
      <c r="I268" s="82">
        <f t="shared" si="62"/>
        <v>0</v>
      </c>
      <c r="J268" s="82">
        <f t="shared" si="63"/>
        <v>0</v>
      </c>
    </row>
    <row r="269" spans="1:10" ht="14.45" hidden="1" x14ac:dyDescent="0.35">
      <c r="A269" s="47" t="str">
        <f t="shared" si="56"/>
        <v>Chilli</v>
      </c>
      <c r="B269" s="47" t="s">
        <v>343</v>
      </c>
      <c r="C269" s="97">
        <v>2800</v>
      </c>
      <c r="D269" s="82">
        <f t="shared" si="57"/>
        <v>0</v>
      </c>
      <c r="E269" s="82">
        <f t="shared" si="58"/>
        <v>0</v>
      </c>
      <c r="F269" s="82">
        <f t="shared" si="59"/>
        <v>0</v>
      </c>
      <c r="G269" s="82">
        <f t="shared" si="60"/>
        <v>0</v>
      </c>
      <c r="H269" s="82">
        <f t="shared" si="61"/>
        <v>0</v>
      </c>
      <c r="I269" s="82">
        <f t="shared" si="62"/>
        <v>0</v>
      </c>
      <c r="J269" s="82">
        <f t="shared" si="63"/>
        <v>0</v>
      </c>
    </row>
    <row r="270" spans="1:10" ht="14.45" hidden="1" x14ac:dyDescent="0.35">
      <c r="A270" s="47" t="str">
        <f t="shared" si="56"/>
        <v>Brinjal</v>
      </c>
      <c r="B270" s="47" t="s">
        <v>343</v>
      </c>
      <c r="C270" s="97">
        <v>1800</v>
      </c>
      <c r="D270" s="82">
        <f t="shared" si="57"/>
        <v>0</v>
      </c>
      <c r="E270" s="82">
        <f t="shared" si="58"/>
        <v>0</v>
      </c>
      <c r="F270" s="82">
        <f t="shared" si="59"/>
        <v>0</v>
      </c>
      <c r="G270" s="82">
        <f t="shared" si="60"/>
        <v>0</v>
      </c>
      <c r="H270" s="82">
        <f t="shared" si="61"/>
        <v>0</v>
      </c>
      <c r="I270" s="82">
        <f t="shared" si="62"/>
        <v>0</v>
      </c>
      <c r="J270" s="82">
        <f t="shared" si="63"/>
        <v>0</v>
      </c>
    </row>
    <row r="271" spans="1:10" ht="14.45" hidden="1" x14ac:dyDescent="0.35">
      <c r="A271" s="47">
        <f t="shared" si="56"/>
        <v>0</v>
      </c>
      <c r="B271" s="47" t="s">
        <v>343</v>
      </c>
      <c r="C271" s="97"/>
      <c r="D271" s="82">
        <f t="shared" si="57"/>
        <v>0</v>
      </c>
      <c r="E271" s="82">
        <f t="shared" si="58"/>
        <v>0</v>
      </c>
      <c r="F271" s="82">
        <f t="shared" si="59"/>
        <v>0</v>
      </c>
      <c r="G271" s="82">
        <f t="shared" si="60"/>
        <v>0</v>
      </c>
      <c r="H271" s="82">
        <f t="shared" si="61"/>
        <v>0</v>
      </c>
      <c r="I271" s="82">
        <f t="shared" si="62"/>
        <v>0</v>
      </c>
      <c r="J271" s="82">
        <f t="shared" si="63"/>
        <v>0</v>
      </c>
    </row>
    <row r="272" spans="1:10" ht="14.45" hidden="1" x14ac:dyDescent="0.35">
      <c r="A272" s="47">
        <f t="shared" si="56"/>
        <v>0</v>
      </c>
      <c r="B272" s="47" t="s">
        <v>343</v>
      </c>
      <c r="C272" s="97"/>
      <c r="D272" s="82">
        <f t="shared" si="57"/>
        <v>0</v>
      </c>
      <c r="E272" s="82">
        <f t="shared" si="58"/>
        <v>0</v>
      </c>
      <c r="F272" s="82">
        <f t="shared" si="59"/>
        <v>0</v>
      </c>
      <c r="G272" s="82">
        <f t="shared" si="60"/>
        <v>0</v>
      </c>
      <c r="H272" s="82">
        <f t="shared" si="61"/>
        <v>0</v>
      </c>
      <c r="I272" s="82">
        <f t="shared" si="62"/>
        <v>0</v>
      </c>
      <c r="J272" s="82">
        <f t="shared" si="63"/>
        <v>0</v>
      </c>
    </row>
    <row r="273" spans="1:10" ht="14.45" hidden="1" x14ac:dyDescent="0.35">
      <c r="A273" s="47">
        <f t="shared" si="56"/>
        <v>0</v>
      </c>
      <c r="B273" s="47" t="s">
        <v>343</v>
      </c>
      <c r="C273" s="97"/>
      <c r="D273" s="82">
        <f t="shared" si="57"/>
        <v>0</v>
      </c>
      <c r="E273" s="82">
        <f t="shared" si="58"/>
        <v>0</v>
      </c>
      <c r="F273" s="82">
        <f t="shared" si="59"/>
        <v>0</v>
      </c>
      <c r="G273" s="82">
        <f t="shared" si="60"/>
        <v>0</v>
      </c>
      <c r="H273" s="82">
        <f t="shared" si="61"/>
        <v>0</v>
      </c>
      <c r="I273" s="82">
        <f t="shared" si="62"/>
        <v>0</v>
      </c>
      <c r="J273" s="82">
        <f t="shared" si="63"/>
        <v>0</v>
      </c>
    </row>
    <row r="274" spans="1:10" ht="14.45" hidden="1" x14ac:dyDescent="0.35">
      <c r="A274" s="47">
        <f t="shared" si="56"/>
        <v>0</v>
      </c>
      <c r="B274" s="47" t="s">
        <v>343</v>
      </c>
      <c r="C274" s="97"/>
      <c r="D274" s="82">
        <f t="shared" si="57"/>
        <v>0</v>
      </c>
      <c r="E274" s="82">
        <f t="shared" si="58"/>
        <v>0</v>
      </c>
      <c r="F274" s="82">
        <f t="shared" si="59"/>
        <v>0</v>
      </c>
      <c r="G274" s="82">
        <f t="shared" si="60"/>
        <v>0</v>
      </c>
      <c r="H274" s="82">
        <f t="shared" si="61"/>
        <v>0</v>
      </c>
      <c r="I274" s="82">
        <f t="shared" si="62"/>
        <v>0</v>
      </c>
      <c r="J274" s="82">
        <f t="shared" si="63"/>
        <v>0</v>
      </c>
    </row>
    <row r="275" spans="1:10" ht="14.45" hidden="1" x14ac:dyDescent="0.35">
      <c r="A275" s="47" t="str">
        <f>A224</f>
        <v>Pomegranate</v>
      </c>
      <c r="B275" s="47" t="s">
        <v>343</v>
      </c>
      <c r="C275" s="97">
        <v>4700</v>
      </c>
      <c r="D275" s="82">
        <f t="shared" ref="D275:J280" si="64">B113*$C275*D$172</f>
        <v>0</v>
      </c>
      <c r="E275" s="82">
        <f t="shared" si="64"/>
        <v>0</v>
      </c>
      <c r="F275" s="82">
        <f t="shared" si="64"/>
        <v>0</v>
      </c>
      <c r="G275" s="82">
        <f t="shared" si="64"/>
        <v>0</v>
      </c>
      <c r="H275" s="82">
        <f t="shared" si="64"/>
        <v>0</v>
      </c>
      <c r="I275" s="82">
        <f t="shared" si="64"/>
        <v>0</v>
      </c>
      <c r="J275" s="82">
        <f t="shared" si="64"/>
        <v>0</v>
      </c>
    </row>
    <row r="276" spans="1:10" ht="14.45" hidden="1" x14ac:dyDescent="0.35">
      <c r="A276" s="47" t="str">
        <f>A225</f>
        <v>Custard Apple</v>
      </c>
      <c r="B276" s="47" t="s">
        <v>343</v>
      </c>
      <c r="C276" s="97"/>
      <c r="D276" s="82">
        <f t="shared" si="64"/>
        <v>0</v>
      </c>
      <c r="E276" s="82">
        <f t="shared" si="64"/>
        <v>0</v>
      </c>
      <c r="F276" s="82">
        <f t="shared" si="64"/>
        <v>0</v>
      </c>
      <c r="G276" s="82">
        <f t="shared" si="64"/>
        <v>0</v>
      </c>
      <c r="H276" s="82">
        <f t="shared" si="64"/>
        <v>0</v>
      </c>
      <c r="I276" s="82">
        <f t="shared" si="64"/>
        <v>0</v>
      </c>
      <c r="J276" s="82">
        <f t="shared" si="64"/>
        <v>0</v>
      </c>
    </row>
    <row r="277" spans="1:10" ht="14.45" hidden="1" x14ac:dyDescent="0.35">
      <c r="A277" s="47" t="str">
        <f>A226</f>
        <v>Guava</v>
      </c>
      <c r="B277" s="47" t="s">
        <v>343</v>
      </c>
      <c r="C277" s="97"/>
      <c r="D277" s="82">
        <f t="shared" si="64"/>
        <v>0</v>
      </c>
      <c r="E277" s="82">
        <f t="shared" si="64"/>
        <v>0</v>
      </c>
      <c r="F277" s="82">
        <f t="shared" si="64"/>
        <v>0</v>
      </c>
      <c r="G277" s="82">
        <f t="shared" si="64"/>
        <v>0</v>
      </c>
      <c r="H277" s="82">
        <f t="shared" si="64"/>
        <v>0</v>
      </c>
      <c r="I277" s="82">
        <f t="shared" si="64"/>
        <v>0</v>
      </c>
      <c r="J277" s="82">
        <f t="shared" si="64"/>
        <v>0</v>
      </c>
    </row>
    <row r="278" spans="1:10" ht="14.45" hidden="1" x14ac:dyDescent="0.35">
      <c r="A278" s="47" t="str">
        <f>A227</f>
        <v>Citrus</v>
      </c>
      <c r="B278" s="47" t="s">
        <v>343</v>
      </c>
      <c r="C278" s="97"/>
      <c r="D278" s="82">
        <f t="shared" si="64"/>
        <v>0</v>
      </c>
      <c r="E278" s="82">
        <f t="shared" si="64"/>
        <v>0</v>
      </c>
      <c r="F278" s="82">
        <f t="shared" si="64"/>
        <v>0</v>
      </c>
      <c r="G278" s="82">
        <f t="shared" si="64"/>
        <v>0</v>
      </c>
      <c r="H278" s="82">
        <f t="shared" si="64"/>
        <v>0</v>
      </c>
      <c r="I278" s="82">
        <f t="shared" si="64"/>
        <v>0</v>
      </c>
      <c r="J278" s="82">
        <f t="shared" si="64"/>
        <v>0</v>
      </c>
    </row>
    <row r="279" spans="1:10" ht="14.45" hidden="1" x14ac:dyDescent="0.35">
      <c r="A279" s="47">
        <f>A228</f>
        <v>0</v>
      </c>
      <c r="B279" s="47" t="s">
        <v>343</v>
      </c>
      <c r="C279" s="97"/>
      <c r="D279" s="82">
        <f t="shared" si="64"/>
        <v>0</v>
      </c>
      <c r="E279" s="82">
        <f t="shared" si="64"/>
        <v>0</v>
      </c>
      <c r="F279" s="82">
        <f t="shared" si="64"/>
        <v>0</v>
      </c>
      <c r="G279" s="82">
        <f t="shared" si="64"/>
        <v>0</v>
      </c>
      <c r="H279" s="82">
        <f t="shared" si="64"/>
        <v>0</v>
      </c>
      <c r="I279" s="82">
        <f t="shared" si="64"/>
        <v>0</v>
      </c>
      <c r="J279" s="82">
        <f t="shared" si="64"/>
        <v>0</v>
      </c>
    </row>
    <row r="280" spans="1:10" ht="14.45" hidden="1" x14ac:dyDescent="0.35">
      <c r="A280" s="47">
        <f>A230</f>
        <v>0</v>
      </c>
      <c r="B280" s="47"/>
      <c r="C280" s="97"/>
      <c r="D280" s="82">
        <f t="shared" si="64"/>
        <v>0</v>
      </c>
      <c r="E280" s="82">
        <f t="shared" si="64"/>
        <v>0</v>
      </c>
      <c r="F280" s="82">
        <f t="shared" si="64"/>
        <v>0</v>
      </c>
      <c r="G280" s="82">
        <f t="shared" si="64"/>
        <v>0</v>
      </c>
      <c r="H280" s="82">
        <f t="shared" si="64"/>
        <v>0</v>
      </c>
      <c r="I280" s="82">
        <f t="shared" si="64"/>
        <v>0</v>
      </c>
      <c r="J280" s="82">
        <f t="shared" si="64"/>
        <v>0</v>
      </c>
    </row>
    <row r="281" spans="1:10" x14ac:dyDescent="0.25">
      <c r="A281" s="47"/>
      <c r="B281" s="47"/>
      <c r="C281" s="97"/>
      <c r="D281" s="82"/>
      <c r="E281" s="82"/>
      <c r="F281" s="82"/>
      <c r="G281" s="82"/>
      <c r="H281" s="82"/>
      <c r="I281" s="82"/>
      <c r="J281" s="82"/>
    </row>
    <row r="282" spans="1:10" x14ac:dyDescent="0.25">
      <c r="A282" s="47" t="s">
        <v>296</v>
      </c>
      <c r="B282" s="85">
        <v>10</v>
      </c>
      <c r="C282" s="85">
        <v>300</v>
      </c>
      <c r="D282" s="82">
        <f t="shared" ref="D282:J282" si="65">B10*$B$282*$C$282*D172</f>
        <v>357475.125</v>
      </c>
      <c r="E282" s="82">
        <f t="shared" si="65"/>
        <v>450418.65749999997</v>
      </c>
      <c r="F282" s="82">
        <f t="shared" si="65"/>
        <v>551762.85543749994</v>
      </c>
      <c r="G282" s="82">
        <f t="shared" si="65"/>
        <v>662115.42652500002</v>
      </c>
      <c r="H282" s="82">
        <f t="shared" si="65"/>
        <v>782123.84758265619</v>
      </c>
      <c r="I282" s="82">
        <f t="shared" si="65"/>
        <v>912477.82217976567</v>
      </c>
      <c r="J282" s="82">
        <f t="shared" si="65"/>
        <v>1053911.8846176295</v>
      </c>
    </row>
    <row r="283" spans="1:10" x14ac:dyDescent="0.25">
      <c r="A283" s="47" t="s">
        <v>143</v>
      </c>
      <c r="B283" s="82">
        <f>'2.Capex Details'!H34*0.746*8</f>
        <v>173.072</v>
      </c>
      <c r="C283" s="85">
        <v>8</v>
      </c>
      <c r="D283" s="82">
        <f t="shared" ref="D283:J283" si="66">$B$283*$C$283*D172*B10</f>
        <v>164983.82622400002</v>
      </c>
      <c r="E283" s="82">
        <f t="shared" si="66"/>
        <v>207879.62104224</v>
      </c>
      <c r="F283" s="82">
        <f t="shared" si="66"/>
        <v>254652.53577674393</v>
      </c>
      <c r="G283" s="82">
        <f t="shared" si="66"/>
        <v>305583.04293209279</v>
      </c>
      <c r="H283" s="82">
        <f t="shared" si="66"/>
        <v>360969.96946353459</v>
      </c>
      <c r="I283" s="82">
        <f t="shared" si="66"/>
        <v>421131.63104079041</v>
      </c>
      <c r="J283" s="82">
        <f t="shared" si="66"/>
        <v>486407.03385211306</v>
      </c>
    </row>
    <row r="284" spans="1:10" x14ac:dyDescent="0.25">
      <c r="A284" s="47" t="s">
        <v>434</v>
      </c>
      <c r="B284" s="47"/>
      <c r="C284" s="85">
        <v>30</v>
      </c>
      <c r="D284" s="82">
        <f t="shared" ref="D284:J284" si="67">SUM(B120:B141)*$C$284*D172</f>
        <v>166440.41819999999</v>
      </c>
      <c r="E284" s="82">
        <f t="shared" si="67"/>
        <v>209714.92693200006</v>
      </c>
      <c r="F284" s="82">
        <f t="shared" si="67"/>
        <v>256900.78549170005</v>
      </c>
      <c r="G284" s="82">
        <f t="shared" si="67"/>
        <v>308280.9425900401</v>
      </c>
      <c r="H284" s="82">
        <f t="shared" si="67"/>
        <v>364156.86343448481</v>
      </c>
      <c r="I284" s="82">
        <f t="shared" si="67"/>
        <v>424849.67400689895</v>
      </c>
      <c r="J284" s="82">
        <f t="shared" si="67"/>
        <v>490701.37347796827</v>
      </c>
    </row>
    <row r="285" spans="1:10" x14ac:dyDescent="0.25">
      <c r="A285" s="47" t="s">
        <v>433</v>
      </c>
      <c r="B285" s="47"/>
      <c r="C285" s="85">
        <v>20</v>
      </c>
      <c r="D285" s="82">
        <f t="shared" ref="D285:J285" si="68">SUM(B120:B141)*$C$285*D172</f>
        <v>110960.2788</v>
      </c>
      <c r="E285" s="82">
        <f t="shared" si="68"/>
        <v>139809.95128800001</v>
      </c>
      <c r="F285" s="82">
        <f t="shared" si="68"/>
        <v>171267.19032780002</v>
      </c>
      <c r="G285" s="82">
        <f t="shared" si="68"/>
        <v>205520.62839336004</v>
      </c>
      <c r="H285" s="82">
        <f t="shared" si="68"/>
        <v>242771.24228965651</v>
      </c>
      <c r="I285" s="82">
        <f t="shared" si="68"/>
        <v>283233.11600459932</v>
      </c>
      <c r="J285" s="82">
        <f t="shared" si="68"/>
        <v>327134.24898531218</v>
      </c>
    </row>
    <row r="286" spans="1:10" ht="14.45" hidden="1" x14ac:dyDescent="0.35">
      <c r="A286" s="47"/>
      <c r="B286" s="47"/>
      <c r="C286" s="47"/>
      <c r="D286" s="47"/>
      <c r="E286" s="47"/>
      <c r="F286" s="47"/>
      <c r="G286" s="47"/>
      <c r="H286" s="47"/>
      <c r="I286" s="47"/>
      <c r="J286" s="47"/>
    </row>
    <row r="287" spans="1:10" ht="14.45" hidden="1" x14ac:dyDescent="0.35">
      <c r="A287" s="47"/>
      <c r="B287" s="47"/>
      <c r="C287" s="47"/>
      <c r="D287" s="47"/>
      <c r="E287" s="47"/>
      <c r="F287" s="47"/>
      <c r="G287" s="47"/>
      <c r="H287" s="47"/>
      <c r="I287" s="47"/>
      <c r="J287" s="47"/>
    </row>
    <row r="288" spans="1:10" x14ac:dyDescent="0.25">
      <c r="A288" s="47"/>
      <c r="B288" s="47"/>
      <c r="C288" s="47"/>
      <c r="D288" s="47"/>
      <c r="E288" s="47"/>
      <c r="F288" s="47"/>
      <c r="G288" s="47"/>
      <c r="H288" s="47"/>
      <c r="I288" s="47"/>
      <c r="J288" s="47"/>
    </row>
    <row r="289" spans="1:14" x14ac:dyDescent="0.25">
      <c r="A289" s="70" t="s">
        <v>325</v>
      </c>
      <c r="B289" s="47"/>
      <c r="C289" s="47"/>
      <c r="D289" s="135"/>
      <c r="E289" s="135">
        <f>'5.Closing Stock &amp; W Capital'!F7</f>
        <v>175492.86969424001</v>
      </c>
      <c r="F289" s="135">
        <f>'5.Closing Stock &amp; W Capital'!G7</f>
        <v>221121.01581474248</v>
      </c>
      <c r="G289" s="135">
        <f>'5.Closing Stock &amp; W Capital'!H7</f>
        <v>270873.24437305948</v>
      </c>
      <c r="H289" s="135">
        <f>'5.Closing Stock &amp; W Capital'!I7</f>
        <v>325047.89324767143</v>
      </c>
      <c r="I289" s="135">
        <f>'5.Closing Stock &amp; W Capital'!J7</f>
        <v>383962.82389881177</v>
      </c>
      <c r="J289" s="135">
        <f>'5.Closing Stock &amp; W Capital'!K7</f>
        <v>447956.62788194715</v>
      </c>
    </row>
    <row r="290" spans="1:14" x14ac:dyDescent="0.25">
      <c r="A290" s="70" t="s">
        <v>326</v>
      </c>
      <c r="B290" s="47"/>
      <c r="C290" s="135"/>
      <c r="D290" s="135">
        <f>'5.Closing Stock &amp; W Capital'!E16</f>
        <v>175492.86969424001</v>
      </c>
      <c r="E290" s="135">
        <f>'5.Closing Stock &amp; W Capital'!F16</f>
        <v>221121.01581474248</v>
      </c>
      <c r="F290" s="135">
        <f>'5.Closing Stock &amp; W Capital'!G16</f>
        <v>270873.24437305948</v>
      </c>
      <c r="G290" s="135">
        <f>'5.Closing Stock &amp; W Capital'!H16</f>
        <v>325047.89324767143</v>
      </c>
      <c r="H290" s="135">
        <f>'5.Closing Stock &amp; W Capital'!I16</f>
        <v>383962.82389881177</v>
      </c>
      <c r="I290" s="135">
        <f>'5.Closing Stock &amp; W Capital'!J16</f>
        <v>447956.62788194715</v>
      </c>
      <c r="J290" s="135">
        <f>'5.Closing Stock &amp; W Capital'!K16</f>
        <v>517389.90520364896</v>
      </c>
    </row>
    <row r="291" spans="1:14" x14ac:dyDescent="0.25">
      <c r="A291" s="70"/>
      <c r="B291" s="47"/>
      <c r="C291" s="46"/>
      <c r="D291" s="135"/>
      <c r="E291" s="135"/>
      <c r="F291" s="135"/>
      <c r="G291" s="135"/>
      <c r="H291" s="135"/>
      <c r="I291" s="135"/>
      <c r="J291" s="135"/>
    </row>
    <row r="292" spans="1:14" x14ac:dyDescent="0.25">
      <c r="A292" s="78" t="s">
        <v>306</v>
      </c>
      <c r="B292" s="78"/>
      <c r="C292" s="78"/>
      <c r="D292" s="84">
        <f t="shared" ref="D292:J292" si="69">SUM(D233:D289)-D290</f>
        <v>17484754.378529761</v>
      </c>
      <c r="E292" s="84">
        <f t="shared" si="69"/>
        <v>22206283.386641745</v>
      </c>
      <c r="F292" s="84">
        <f t="shared" si="69"/>
        <v>27208839.399075434</v>
      </c>
      <c r="G292" s="84">
        <f t="shared" si="69"/>
        <v>32656135.304285891</v>
      </c>
      <c r="H292" s="84">
        <f t="shared" si="69"/>
        <v>38580138.70151969</v>
      </c>
      <c r="I292" s="84">
        <f t="shared" si="69"/>
        <v>45014902.100216188</v>
      </c>
      <c r="J292" s="84">
        <f t="shared" si="69"/>
        <v>51996691.492028505</v>
      </c>
    </row>
    <row r="293" spans="1:14" x14ac:dyDescent="0.25">
      <c r="A293" s="78" t="s">
        <v>293</v>
      </c>
      <c r="B293" s="47"/>
      <c r="C293" s="47"/>
      <c r="D293" s="138"/>
      <c r="E293" s="138"/>
      <c r="F293" s="138"/>
      <c r="G293" s="138"/>
      <c r="H293" s="138"/>
      <c r="I293" s="47"/>
      <c r="J293" s="47"/>
    </row>
    <row r="294" spans="1:14" x14ac:dyDescent="0.25">
      <c r="A294" s="47" t="s">
        <v>176</v>
      </c>
      <c r="B294" s="85">
        <v>1</v>
      </c>
      <c r="C294" s="97">
        <v>15000</v>
      </c>
      <c r="D294" s="82">
        <f t="shared" ref="D294:J294" si="70">$B$294*$C$294*12*D172</f>
        <v>180000</v>
      </c>
      <c r="E294" s="82">
        <f t="shared" si="70"/>
        <v>189000</v>
      </c>
      <c r="F294" s="82">
        <f t="shared" si="70"/>
        <v>198450</v>
      </c>
      <c r="G294" s="82">
        <f t="shared" si="70"/>
        <v>208372.50000000003</v>
      </c>
      <c r="H294" s="82">
        <f t="shared" si="70"/>
        <v>218791.12500000003</v>
      </c>
      <c r="I294" s="82">
        <f t="shared" si="70"/>
        <v>229730.68125000005</v>
      </c>
      <c r="J294" s="82">
        <f t="shared" si="70"/>
        <v>241217.21531250008</v>
      </c>
    </row>
    <row r="295" spans="1:14" x14ac:dyDescent="0.25">
      <c r="A295" s="47"/>
      <c r="B295" s="85"/>
      <c r="C295" s="97"/>
      <c r="D295" s="82"/>
      <c r="E295" s="82"/>
      <c r="F295" s="82"/>
      <c r="G295" s="82"/>
      <c r="H295" s="82"/>
      <c r="I295" s="82"/>
      <c r="J295" s="82"/>
      <c r="N295" s="119"/>
    </row>
    <row r="296" spans="1:14" ht="14.45" hidden="1" x14ac:dyDescent="0.35">
      <c r="A296" s="47"/>
      <c r="B296" s="85"/>
      <c r="C296" s="97"/>
      <c r="D296" s="82"/>
      <c r="E296" s="82"/>
      <c r="F296" s="82"/>
      <c r="G296" s="82"/>
      <c r="H296" s="82"/>
      <c r="I296" s="82"/>
      <c r="J296" s="82"/>
    </row>
    <row r="297" spans="1:14" ht="14.45" hidden="1" x14ac:dyDescent="0.35">
      <c r="A297" s="47"/>
      <c r="B297" s="85"/>
      <c r="C297" s="97"/>
      <c r="D297" s="82"/>
      <c r="E297" s="82"/>
      <c r="F297" s="82"/>
      <c r="G297" s="82"/>
      <c r="H297" s="82"/>
      <c r="I297" s="82"/>
      <c r="J297" s="82"/>
    </row>
    <row r="298" spans="1:14" ht="14.45" hidden="1" x14ac:dyDescent="0.35">
      <c r="A298" s="47"/>
      <c r="B298" s="85"/>
      <c r="C298" s="97"/>
      <c r="D298" s="82"/>
      <c r="E298" s="82"/>
      <c r="F298" s="82"/>
      <c r="G298" s="82"/>
      <c r="H298" s="82"/>
      <c r="I298" s="82"/>
      <c r="J298" s="82"/>
    </row>
    <row r="299" spans="1:14" ht="14.45" hidden="1" x14ac:dyDescent="0.35">
      <c r="A299" s="47"/>
      <c r="B299" s="85"/>
      <c r="C299" s="97"/>
      <c r="D299" s="82"/>
      <c r="E299" s="82"/>
      <c r="F299" s="82"/>
      <c r="G299" s="82"/>
      <c r="H299" s="82"/>
      <c r="I299" s="82"/>
      <c r="J299" s="82"/>
    </row>
    <row r="300" spans="1:14" ht="14.45" hidden="1" x14ac:dyDescent="0.35">
      <c r="A300" s="47"/>
      <c r="B300" s="85"/>
      <c r="C300" s="97"/>
      <c r="D300" s="82"/>
      <c r="E300" s="82"/>
      <c r="F300" s="82"/>
      <c r="G300" s="82"/>
      <c r="H300" s="82"/>
      <c r="I300" s="82"/>
      <c r="J300" s="82"/>
    </row>
    <row r="301" spans="1:14" x14ac:dyDescent="0.25">
      <c r="A301" s="78" t="s">
        <v>310</v>
      </c>
      <c r="B301" s="86"/>
      <c r="C301" s="86"/>
      <c r="D301" s="84">
        <f t="shared" ref="D301:J301" si="71">SUM(D294:D300)</f>
        <v>180000</v>
      </c>
      <c r="E301" s="84">
        <f t="shared" si="71"/>
        <v>189000</v>
      </c>
      <c r="F301" s="84">
        <f t="shared" si="71"/>
        <v>198450</v>
      </c>
      <c r="G301" s="84">
        <f t="shared" si="71"/>
        <v>208372.50000000003</v>
      </c>
      <c r="H301" s="84">
        <f t="shared" si="71"/>
        <v>218791.12500000003</v>
      </c>
      <c r="I301" s="84">
        <f t="shared" si="71"/>
        <v>229730.68125000005</v>
      </c>
      <c r="J301" s="84">
        <f t="shared" si="71"/>
        <v>241217.21531250008</v>
      </c>
      <c r="N301" s="119"/>
    </row>
    <row r="302" spans="1:14" x14ac:dyDescent="0.25">
      <c r="A302" s="78" t="s">
        <v>129</v>
      </c>
      <c r="B302" s="78"/>
      <c r="C302" s="78"/>
      <c r="D302" s="84">
        <f t="shared" ref="D302:J302" si="72">D292+D301</f>
        <v>17664754.378529761</v>
      </c>
      <c r="E302" s="84">
        <f t="shared" si="72"/>
        <v>22395283.386641745</v>
      </c>
      <c r="F302" s="84">
        <f t="shared" si="72"/>
        <v>27407289.399075434</v>
      </c>
      <c r="G302" s="84">
        <f t="shared" si="72"/>
        <v>32864507.804285891</v>
      </c>
      <c r="H302" s="84">
        <f t="shared" si="72"/>
        <v>38798929.82651969</v>
      </c>
      <c r="I302" s="84">
        <f t="shared" si="72"/>
        <v>45244632.781466186</v>
      </c>
      <c r="J302" s="84">
        <f t="shared" si="72"/>
        <v>52237908.707341008</v>
      </c>
    </row>
    <row r="303" spans="1:14" x14ac:dyDescent="0.25">
      <c r="A303" s="47"/>
      <c r="B303" s="47"/>
      <c r="C303" s="47"/>
      <c r="D303" s="138"/>
      <c r="E303" s="138"/>
      <c r="F303" s="138"/>
      <c r="G303" s="138"/>
      <c r="H303" s="138"/>
      <c r="I303" s="47"/>
      <c r="J303" s="47"/>
    </row>
    <row r="304" spans="1:14" x14ac:dyDescent="0.25">
      <c r="A304" s="78"/>
      <c r="B304" s="78"/>
      <c r="C304" s="78"/>
      <c r="D304" s="138"/>
      <c r="E304" s="138"/>
      <c r="F304" s="138"/>
      <c r="G304" s="138"/>
      <c r="H304" s="138"/>
      <c r="I304" s="47"/>
      <c r="J304" s="47"/>
    </row>
    <row r="305" spans="1:10" x14ac:dyDescent="0.25">
      <c r="A305" s="78" t="s">
        <v>298</v>
      </c>
      <c r="B305" s="78"/>
      <c r="C305" s="78"/>
      <c r="D305" s="84">
        <f t="shared" ref="D305:J305" si="73">D229-D302</f>
        <v>977028.45947024226</v>
      </c>
      <c r="E305" s="84">
        <f t="shared" si="73"/>
        <v>1279755.2113382593</v>
      </c>
      <c r="F305" s="84">
        <f t="shared" si="73"/>
        <v>1601156.6112235636</v>
      </c>
      <c r="G305" s="84">
        <f t="shared" si="73"/>
        <v>1951498.7630690634</v>
      </c>
      <c r="H305" s="84">
        <f t="shared" si="73"/>
        <v>2332872.2385710701</v>
      </c>
      <c r="I305" s="84">
        <f t="shared" si="73"/>
        <v>2747504.3147155568</v>
      </c>
      <c r="J305" s="84">
        <f t="shared" si="73"/>
        <v>3197767.4178780988</v>
      </c>
    </row>
    <row r="307" spans="1:10" x14ac:dyDescent="0.25">
      <c r="A307" s="39" t="s">
        <v>50</v>
      </c>
      <c r="D307" s="100">
        <f>D305/D229</f>
        <v>5.2410677023800339E-2</v>
      </c>
      <c r="E307" s="100">
        <f t="shared" ref="E307:J307" si="74">E305/E229</f>
        <v>5.405504223538838E-2</v>
      </c>
      <c r="F307" s="100">
        <f t="shared" si="74"/>
        <v>5.5196221495460246E-2</v>
      </c>
      <c r="G307" s="100">
        <f t="shared" si="74"/>
        <v>5.6051769156629121E-2</v>
      </c>
      <c r="H307" s="100">
        <f t="shared" si="74"/>
        <v>5.6716995644375552E-2</v>
      </c>
      <c r="I307" s="100">
        <f t="shared" si="74"/>
        <v>5.7249051218728669E-2</v>
      </c>
      <c r="J307" s="100">
        <f t="shared" si="74"/>
        <v>5.7684286390859991E-2</v>
      </c>
    </row>
    <row r="308" spans="1:10" x14ac:dyDescent="0.25">
      <c r="A308" s="427" t="s">
        <v>397</v>
      </c>
      <c r="B308" s="427"/>
      <c r="C308" s="427"/>
      <c r="D308" s="427"/>
      <c r="E308" s="427"/>
      <c r="F308" s="427"/>
      <c r="G308" s="427"/>
      <c r="H308" s="427"/>
      <c r="I308" s="427"/>
      <c r="J308" s="427"/>
    </row>
    <row r="310" spans="1:10" x14ac:dyDescent="0.25">
      <c r="A310" s="39" t="s">
        <v>491</v>
      </c>
    </row>
    <row r="311" spans="1:10" x14ac:dyDescent="0.25">
      <c r="A311" s="39">
        <v>1</v>
      </c>
      <c r="B311" s="39" t="s">
        <v>504</v>
      </c>
    </row>
    <row r="312" spans="1:10" x14ac:dyDescent="0.25">
      <c r="A312" s="39">
        <v>2</v>
      </c>
      <c r="B312" s="39" t="s">
        <v>505</v>
      </c>
    </row>
    <row r="313" spans="1:10" x14ac:dyDescent="0.25">
      <c r="A313" s="39">
        <v>3</v>
      </c>
      <c r="B313" s="39" t="s">
        <v>554</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topLeftCell="A140" workbookViewId="0">
      <selection activeCell="H12" activeCellId="1" sqref="B12 H12"/>
    </sheetView>
  </sheetViews>
  <sheetFormatPr defaultColWidth="8.7109375" defaultRowHeight="15" x14ac:dyDescent="0.25"/>
  <cols>
    <col min="1" max="1" width="41.7109375" style="39" bestFit="1" customWidth="1"/>
    <col min="2" max="2" width="10.5703125" style="39" customWidth="1"/>
    <col min="3" max="3" width="10.5703125" style="39" bestFit="1" customWidth="1"/>
    <col min="4" max="4" width="15.140625" style="39" customWidth="1"/>
    <col min="5" max="8" width="17.28515625" style="39" customWidth="1"/>
    <col min="9" max="10" width="16.85546875" style="39" bestFit="1" customWidth="1"/>
    <col min="11" max="16384" width="8.7109375" style="39"/>
  </cols>
  <sheetData>
    <row r="3" spans="1:8" ht="14.45" x14ac:dyDescent="0.35">
      <c r="A3" s="427" t="s">
        <v>540</v>
      </c>
      <c r="B3" s="427"/>
      <c r="C3" s="427"/>
      <c r="D3" s="427"/>
      <c r="E3" s="427"/>
      <c r="F3" s="427"/>
      <c r="G3" s="427"/>
      <c r="H3" s="427"/>
    </row>
    <row r="4" spans="1:8" ht="14.45" x14ac:dyDescent="0.35">
      <c r="A4" s="427" t="s">
        <v>541</v>
      </c>
      <c r="B4" s="427"/>
      <c r="C4" s="427"/>
      <c r="D4" s="427"/>
      <c r="E4" s="427"/>
      <c r="F4" s="427"/>
      <c r="G4" s="427"/>
      <c r="H4" s="427"/>
    </row>
    <row r="5" spans="1:8" ht="14.45" x14ac:dyDescent="0.35">
      <c r="A5" s="39" t="s">
        <v>159</v>
      </c>
      <c r="B5" s="101">
        <v>5</v>
      </c>
      <c r="C5" s="39" t="s">
        <v>444</v>
      </c>
    </row>
    <row r="6" spans="1:8" ht="14.45" x14ac:dyDescent="0.35">
      <c r="A6" s="39" t="s">
        <v>160</v>
      </c>
      <c r="B6" s="102">
        <v>8</v>
      </c>
    </row>
    <row r="7" spans="1:8" ht="14.45" x14ac:dyDescent="0.35">
      <c r="B7" s="102"/>
    </row>
    <row r="8" spans="1:8" ht="14.45" x14ac:dyDescent="0.35">
      <c r="B8" s="102"/>
    </row>
    <row r="11" spans="1:8" ht="14.45" x14ac:dyDescent="0.35">
      <c r="A11" s="66" t="s">
        <v>0</v>
      </c>
      <c r="B11" s="113" t="s">
        <v>2</v>
      </c>
      <c r="C11" s="113" t="s">
        <v>3</v>
      </c>
      <c r="D11" s="113" t="s">
        <v>4</v>
      </c>
      <c r="E11" s="113" t="s">
        <v>5</v>
      </c>
      <c r="F11" s="113" t="s">
        <v>6</v>
      </c>
      <c r="G11" s="113" t="s">
        <v>166</v>
      </c>
      <c r="H11" s="113" t="s">
        <v>165</v>
      </c>
    </row>
    <row r="12" spans="1:8" ht="14.45" x14ac:dyDescent="0.35">
      <c r="A12" s="47" t="s">
        <v>167</v>
      </c>
      <c r="B12" s="82">
        <f>B32/($B$5*$B$6)</f>
        <v>176.29919999999998</v>
      </c>
      <c r="C12" s="82">
        <f t="shared" ref="C12:H12" si="0">C32/($B$5*$B$6)</f>
        <v>205.68239999999997</v>
      </c>
      <c r="D12" s="82">
        <f t="shared" si="0"/>
        <v>235.06559999999999</v>
      </c>
      <c r="E12" s="82">
        <f t="shared" si="0"/>
        <v>264.44879999999995</v>
      </c>
      <c r="F12" s="82">
        <f t="shared" si="0"/>
        <v>293.83199999999999</v>
      </c>
      <c r="G12" s="82">
        <f t="shared" si="0"/>
        <v>323.21519999999998</v>
      </c>
      <c r="H12" s="82">
        <f t="shared" si="0"/>
        <v>352.59839999999997</v>
      </c>
    </row>
    <row r="13" spans="1:8" ht="14.45" hidden="1" x14ac:dyDescent="0.35">
      <c r="A13" s="47" t="str">
        <f>'10.Grain Production details'!A67</f>
        <v>Maize</v>
      </c>
      <c r="B13" s="82">
        <v>0</v>
      </c>
      <c r="C13" s="82">
        <v>0</v>
      </c>
      <c r="D13" s="82">
        <v>0</v>
      </c>
      <c r="E13" s="82">
        <v>0</v>
      </c>
      <c r="F13" s="82">
        <v>0</v>
      </c>
      <c r="G13" s="82">
        <v>0</v>
      </c>
      <c r="H13" s="82">
        <v>0</v>
      </c>
    </row>
    <row r="14" spans="1:8" ht="14.45" x14ac:dyDescent="0.35">
      <c r="A14" s="47" t="str">
        <f>'10.Grain Production details'!A68</f>
        <v>Red Gram/Tur</v>
      </c>
      <c r="B14" s="82">
        <f>'10.Grain Production details'!B68</f>
        <v>3326.4</v>
      </c>
      <c r="C14" s="82">
        <f>'10.Grain Production details'!C68</f>
        <v>3880.7999999999997</v>
      </c>
      <c r="D14" s="82">
        <f>'10.Grain Production details'!D68</f>
        <v>4435.2</v>
      </c>
      <c r="E14" s="82">
        <f>'10.Grain Production details'!E68</f>
        <v>4989.5999999999995</v>
      </c>
      <c r="F14" s="82">
        <f>'10.Grain Production details'!F68</f>
        <v>5543.9999999999991</v>
      </c>
      <c r="G14" s="82">
        <f>'10.Grain Production details'!G68</f>
        <v>6098.4</v>
      </c>
      <c r="H14" s="82">
        <f>'10.Grain Production details'!H68</f>
        <v>6652.8</v>
      </c>
    </row>
    <row r="15" spans="1:8" ht="14.45" hidden="1" x14ac:dyDescent="0.35">
      <c r="A15" s="47" t="str">
        <f>'10.Grain Production details'!A69</f>
        <v>Bajra</v>
      </c>
      <c r="B15" s="82">
        <v>0</v>
      </c>
      <c r="C15" s="82">
        <v>0</v>
      </c>
      <c r="D15" s="82">
        <v>0</v>
      </c>
      <c r="E15" s="82">
        <v>0</v>
      </c>
      <c r="F15" s="82">
        <v>0</v>
      </c>
      <c r="G15" s="82">
        <v>0</v>
      </c>
      <c r="H15" s="82">
        <v>0</v>
      </c>
    </row>
    <row r="16" spans="1:8" ht="14.45" hidden="1" x14ac:dyDescent="0.35">
      <c r="A16" s="47">
        <f>'10.Grain Production details'!A70</f>
        <v>0</v>
      </c>
      <c r="B16" s="82">
        <f>'10.Grain Production details'!B70</f>
        <v>0</v>
      </c>
      <c r="C16" s="82">
        <f>'10.Grain Production details'!C70</f>
        <v>0</v>
      </c>
      <c r="D16" s="82">
        <f>'10.Grain Production details'!D70</f>
        <v>0</v>
      </c>
      <c r="E16" s="82">
        <f>'10.Grain Production details'!E70</f>
        <v>0</v>
      </c>
      <c r="F16" s="82">
        <f>'10.Grain Production details'!F70</f>
        <v>0</v>
      </c>
      <c r="G16" s="82">
        <f>'10.Grain Production details'!G70</f>
        <v>0</v>
      </c>
      <c r="H16" s="82">
        <f>'10.Grain Production details'!H70</f>
        <v>0</v>
      </c>
    </row>
    <row r="17" spans="1:8" ht="14.45" hidden="1" x14ac:dyDescent="0.35">
      <c r="A17" s="47">
        <f>'10.Grain Production details'!A71</f>
        <v>0</v>
      </c>
      <c r="B17" s="82">
        <f>'10.Grain Production details'!B71</f>
        <v>0</v>
      </c>
      <c r="C17" s="82">
        <f>'10.Grain Production details'!C71</f>
        <v>0</v>
      </c>
      <c r="D17" s="82">
        <f>'10.Grain Production details'!D71</f>
        <v>0</v>
      </c>
      <c r="E17" s="82">
        <f>'10.Grain Production details'!E71</f>
        <v>0</v>
      </c>
      <c r="F17" s="82">
        <f>'10.Grain Production details'!F71</f>
        <v>0</v>
      </c>
      <c r="G17" s="82">
        <f>'10.Grain Production details'!G71</f>
        <v>0</v>
      </c>
      <c r="H17" s="82">
        <f>'10.Grain Production details'!H71</f>
        <v>0</v>
      </c>
    </row>
    <row r="18" spans="1:8" ht="14.45" hidden="1" x14ac:dyDescent="0.35">
      <c r="A18" s="47">
        <f>'10.Grain Production details'!A72</f>
        <v>0</v>
      </c>
      <c r="B18" s="82">
        <f>'10.Grain Production details'!B72</f>
        <v>0</v>
      </c>
      <c r="C18" s="82">
        <f>'10.Grain Production details'!C72</f>
        <v>0</v>
      </c>
      <c r="D18" s="82">
        <f>'10.Grain Production details'!D72</f>
        <v>0</v>
      </c>
      <c r="E18" s="82">
        <f>'10.Grain Production details'!E72</f>
        <v>0</v>
      </c>
      <c r="F18" s="82">
        <f>'10.Grain Production details'!F72</f>
        <v>0</v>
      </c>
      <c r="G18" s="82">
        <f>'10.Grain Production details'!G72</f>
        <v>0</v>
      </c>
      <c r="H18" s="82">
        <f>'10.Grain Production details'!H72</f>
        <v>0</v>
      </c>
    </row>
    <row r="19" spans="1:8" ht="14.45" hidden="1" x14ac:dyDescent="0.35">
      <c r="A19" s="47">
        <f>'10.Grain Production details'!A73</f>
        <v>0</v>
      </c>
      <c r="B19" s="82">
        <f>'10.Grain Production details'!B73</f>
        <v>0</v>
      </c>
      <c r="C19" s="82">
        <f>'10.Grain Production details'!C73</f>
        <v>0</v>
      </c>
      <c r="D19" s="82">
        <f>'10.Grain Production details'!D73</f>
        <v>0</v>
      </c>
      <c r="E19" s="82">
        <f>'10.Grain Production details'!E73</f>
        <v>0</v>
      </c>
      <c r="F19" s="82">
        <f>'10.Grain Production details'!F73</f>
        <v>0</v>
      </c>
      <c r="G19" s="82">
        <f>'10.Grain Production details'!G73</f>
        <v>0</v>
      </c>
      <c r="H19" s="82">
        <f>'10.Grain Production details'!H73</f>
        <v>0</v>
      </c>
    </row>
    <row r="20" spans="1:8" ht="14.45" hidden="1" x14ac:dyDescent="0.35">
      <c r="A20" s="47">
        <f>'10.Grain Production details'!A74</f>
        <v>0</v>
      </c>
      <c r="B20" s="82">
        <f>'10.Grain Production details'!B74</f>
        <v>0</v>
      </c>
      <c r="C20" s="82">
        <f>'10.Grain Production details'!C74</f>
        <v>0</v>
      </c>
      <c r="D20" s="82">
        <f>'10.Grain Production details'!D74</f>
        <v>0</v>
      </c>
      <c r="E20" s="82">
        <f>'10.Grain Production details'!E74</f>
        <v>0</v>
      </c>
      <c r="F20" s="82">
        <f>'10.Grain Production details'!F74</f>
        <v>0</v>
      </c>
      <c r="G20" s="82">
        <f>'10.Grain Production details'!G74</f>
        <v>0</v>
      </c>
      <c r="H20" s="82">
        <f>'10.Grain Production details'!H74</f>
        <v>0</v>
      </c>
    </row>
    <row r="21" spans="1:8" ht="14.45" hidden="1" x14ac:dyDescent="0.35">
      <c r="A21" s="47">
        <f>'10.Grain Production details'!A75</f>
        <v>0</v>
      </c>
      <c r="B21" s="82">
        <f>'10.Grain Production details'!B75</f>
        <v>0</v>
      </c>
      <c r="C21" s="82">
        <f>'10.Grain Production details'!C75</f>
        <v>0</v>
      </c>
      <c r="D21" s="82">
        <f>'10.Grain Production details'!D75</f>
        <v>0</v>
      </c>
      <c r="E21" s="82">
        <f>'10.Grain Production details'!E75</f>
        <v>0</v>
      </c>
      <c r="F21" s="82">
        <f>'10.Grain Production details'!F75</f>
        <v>0</v>
      </c>
      <c r="G21" s="82">
        <f>'10.Grain Production details'!G75</f>
        <v>0</v>
      </c>
      <c r="H21" s="82">
        <f>'10.Grain Production details'!H75</f>
        <v>0</v>
      </c>
    </row>
    <row r="22" spans="1:8" ht="14.45" hidden="1" x14ac:dyDescent="0.35">
      <c r="A22" s="47" t="str">
        <f>'10.Grain Production details'!A76</f>
        <v>Wheat</v>
      </c>
      <c r="B22" s="82">
        <v>0</v>
      </c>
      <c r="C22" s="82">
        <v>0</v>
      </c>
      <c r="D22" s="82">
        <v>0</v>
      </c>
      <c r="E22" s="82">
        <v>0</v>
      </c>
      <c r="F22" s="82">
        <v>0</v>
      </c>
      <c r="G22" s="82">
        <v>0</v>
      </c>
      <c r="H22" s="82">
        <v>0</v>
      </c>
    </row>
    <row r="23" spans="1:8" ht="14.45" x14ac:dyDescent="0.35">
      <c r="A23" s="47" t="str">
        <f>'10.Grain Production details'!A77</f>
        <v>Bengal Gram/Channa</v>
      </c>
      <c r="B23" s="82">
        <f>'10.Grain Production details'!B77</f>
        <v>3725.5679999999998</v>
      </c>
      <c r="C23" s="82">
        <f>'10.Grain Production details'!C77</f>
        <v>4346.4959999999992</v>
      </c>
      <c r="D23" s="82">
        <f>'10.Grain Production details'!D77</f>
        <v>4967.4239999999991</v>
      </c>
      <c r="E23" s="82">
        <f>'10.Grain Production details'!E77</f>
        <v>5588.351999999999</v>
      </c>
      <c r="F23" s="82">
        <f>'10.Grain Production details'!F77</f>
        <v>6209.2799999999988</v>
      </c>
      <c r="G23" s="82">
        <f>'10.Grain Production details'!G77</f>
        <v>6830.2079999999987</v>
      </c>
      <c r="H23" s="82">
        <f>'10.Grain Production details'!H77</f>
        <v>7451.1359999999995</v>
      </c>
    </row>
    <row r="24" spans="1:8" ht="14.45" hidden="1" x14ac:dyDescent="0.35">
      <c r="A24" s="47" t="str">
        <f>'10.Grain Production details'!A78</f>
        <v>Jawar</v>
      </c>
      <c r="B24" s="82">
        <v>0</v>
      </c>
      <c r="C24" s="82">
        <v>0</v>
      </c>
      <c r="D24" s="82">
        <v>0</v>
      </c>
      <c r="E24" s="82">
        <v>0</v>
      </c>
      <c r="F24" s="82">
        <v>0</v>
      </c>
      <c r="G24" s="82">
        <v>0</v>
      </c>
      <c r="H24" s="82">
        <v>0</v>
      </c>
    </row>
    <row r="25" spans="1:8" ht="14.45" hidden="1" x14ac:dyDescent="0.35">
      <c r="A25" s="47" t="str">
        <f>'10.Grain Production details'!A79</f>
        <v>Maize</v>
      </c>
      <c r="B25" s="82">
        <v>0</v>
      </c>
      <c r="C25" s="82">
        <v>0</v>
      </c>
      <c r="D25" s="82">
        <v>0</v>
      </c>
      <c r="E25" s="82">
        <v>0</v>
      </c>
      <c r="F25" s="82">
        <v>0</v>
      </c>
      <c r="G25" s="82">
        <v>0</v>
      </c>
      <c r="H25" s="82">
        <v>0</v>
      </c>
    </row>
    <row r="26" spans="1:8" ht="14.45" hidden="1" x14ac:dyDescent="0.35">
      <c r="A26" s="47">
        <f>'10.Grain Production details'!A80</f>
        <v>0</v>
      </c>
      <c r="B26" s="82">
        <f>'10.Grain Production details'!B80</f>
        <v>0</v>
      </c>
      <c r="C26" s="82">
        <f>'10.Grain Production details'!C80</f>
        <v>0</v>
      </c>
      <c r="D26" s="82">
        <f>'10.Grain Production details'!D80</f>
        <v>0</v>
      </c>
      <c r="E26" s="82">
        <f>'10.Grain Production details'!E80</f>
        <v>0</v>
      </c>
      <c r="F26" s="82">
        <f>'10.Grain Production details'!F80</f>
        <v>0</v>
      </c>
      <c r="G26" s="82">
        <f>'10.Grain Production details'!G80</f>
        <v>0</v>
      </c>
      <c r="H26" s="82">
        <f>'10.Grain Production details'!H80</f>
        <v>0</v>
      </c>
    </row>
    <row r="27" spans="1:8" ht="14.45" hidden="1" x14ac:dyDescent="0.35">
      <c r="A27" s="47">
        <f>'10.Grain Production details'!A81</f>
        <v>0</v>
      </c>
      <c r="B27" s="82">
        <f>'10.Grain Production details'!B81</f>
        <v>0</v>
      </c>
      <c r="C27" s="82">
        <f>'10.Grain Production details'!C81</f>
        <v>0</v>
      </c>
      <c r="D27" s="82">
        <f>'10.Grain Production details'!D81</f>
        <v>0</v>
      </c>
      <c r="E27" s="82">
        <f>'10.Grain Production details'!E81</f>
        <v>0</v>
      </c>
      <c r="F27" s="82">
        <f>'10.Grain Production details'!F81</f>
        <v>0</v>
      </c>
      <c r="G27" s="82">
        <f>'10.Grain Production details'!G81</f>
        <v>0</v>
      </c>
      <c r="H27" s="82">
        <f>'10.Grain Production details'!H81</f>
        <v>0</v>
      </c>
    </row>
    <row r="28" spans="1:8" ht="14.45" hidden="1" x14ac:dyDescent="0.35">
      <c r="A28" s="47">
        <f>'10.Grain Production details'!A82</f>
        <v>0</v>
      </c>
      <c r="B28" s="82">
        <f>'10.Grain Production details'!B82</f>
        <v>0</v>
      </c>
      <c r="C28" s="82">
        <f>'10.Grain Production details'!C82</f>
        <v>0</v>
      </c>
      <c r="D28" s="82">
        <f>'10.Grain Production details'!D82</f>
        <v>0</v>
      </c>
      <c r="E28" s="82">
        <f>'10.Grain Production details'!E82</f>
        <v>0</v>
      </c>
      <c r="F28" s="82">
        <f>'10.Grain Production details'!F82</f>
        <v>0</v>
      </c>
      <c r="G28" s="82">
        <f>'10.Grain Production details'!G82</f>
        <v>0</v>
      </c>
      <c r="H28" s="82">
        <f>'10.Grain Production details'!H82</f>
        <v>0</v>
      </c>
    </row>
    <row r="29" spans="1:8" ht="14.45" hidden="1" x14ac:dyDescent="0.35">
      <c r="A29" s="47">
        <f>'10.Grain Production details'!A83</f>
        <v>0</v>
      </c>
      <c r="B29" s="82">
        <f>'10.Grain Production details'!B83</f>
        <v>0</v>
      </c>
      <c r="C29" s="82">
        <f>'10.Grain Production details'!C83</f>
        <v>0</v>
      </c>
      <c r="D29" s="82">
        <f>'10.Grain Production details'!D83</f>
        <v>0</v>
      </c>
      <c r="E29" s="82">
        <f>'10.Grain Production details'!E83</f>
        <v>0</v>
      </c>
      <c r="F29" s="82">
        <f>'10.Grain Production details'!F83</f>
        <v>0</v>
      </c>
      <c r="G29" s="82">
        <f>'10.Grain Production details'!G83</f>
        <v>0</v>
      </c>
      <c r="H29" s="82">
        <f>'10.Grain Production details'!H83</f>
        <v>0</v>
      </c>
    </row>
    <row r="30" spans="1:8" ht="14.45" hidden="1" x14ac:dyDescent="0.35">
      <c r="A30" s="47">
        <f>'10.Grain Production details'!A84</f>
        <v>0</v>
      </c>
      <c r="B30" s="82">
        <f>'10.Grain Production details'!B84</f>
        <v>0</v>
      </c>
      <c r="C30" s="82">
        <f>'10.Grain Production details'!C84</f>
        <v>0</v>
      </c>
      <c r="D30" s="82">
        <f>'10.Grain Production details'!D84</f>
        <v>0</v>
      </c>
      <c r="E30" s="82">
        <f>'10.Grain Production details'!E84</f>
        <v>0</v>
      </c>
      <c r="F30" s="82">
        <f>'10.Grain Production details'!F84</f>
        <v>0</v>
      </c>
      <c r="G30" s="82">
        <f>'10.Grain Production details'!G84</f>
        <v>0</v>
      </c>
      <c r="H30" s="82">
        <f>'10.Grain Production details'!H84</f>
        <v>0</v>
      </c>
    </row>
    <row r="31" spans="1:8" ht="14.45" hidden="1" x14ac:dyDescent="0.35">
      <c r="A31" s="47">
        <f>'10.Grain Production details'!A85</f>
        <v>0</v>
      </c>
      <c r="B31" s="82">
        <f>'10.Grain Production details'!B85</f>
        <v>0</v>
      </c>
      <c r="C31" s="82">
        <f>'10.Grain Production details'!C85</f>
        <v>0</v>
      </c>
      <c r="D31" s="82">
        <f>'10.Grain Production details'!D85</f>
        <v>0</v>
      </c>
      <c r="E31" s="82">
        <f>'10.Grain Production details'!E85</f>
        <v>0</v>
      </c>
      <c r="F31" s="82">
        <f>'10.Grain Production details'!F85</f>
        <v>0</v>
      </c>
      <c r="G31" s="82">
        <f>'10.Grain Production details'!G85</f>
        <v>0</v>
      </c>
      <c r="H31" s="82">
        <f>'10.Grain Production details'!H85</f>
        <v>0</v>
      </c>
    </row>
    <row r="32" spans="1:8" ht="14.45" x14ac:dyDescent="0.35">
      <c r="A32" s="78" t="s">
        <v>435</v>
      </c>
      <c r="B32" s="84">
        <f>SUM(B13:B31)</f>
        <v>7051.9679999999998</v>
      </c>
      <c r="C32" s="84">
        <f t="shared" ref="C32:H32" si="1">SUM(C13:C31)</f>
        <v>8227.2959999999985</v>
      </c>
      <c r="D32" s="84">
        <f t="shared" si="1"/>
        <v>9402.6239999999998</v>
      </c>
      <c r="E32" s="84">
        <f t="shared" si="1"/>
        <v>10577.951999999997</v>
      </c>
      <c r="F32" s="84">
        <f t="shared" si="1"/>
        <v>11753.279999999999</v>
      </c>
      <c r="G32" s="84">
        <f t="shared" si="1"/>
        <v>12928.607999999998</v>
      </c>
      <c r="H32" s="84">
        <f t="shared" si="1"/>
        <v>14103.936</v>
      </c>
    </row>
    <row r="33" spans="1:8" ht="14.45" x14ac:dyDescent="0.35">
      <c r="A33" s="114" t="s">
        <v>163</v>
      </c>
      <c r="B33" s="115">
        <v>0.2</v>
      </c>
      <c r="C33" s="115">
        <f>B33</f>
        <v>0.2</v>
      </c>
      <c r="D33" s="115">
        <f t="shared" ref="D33:H33" si="2">C33</f>
        <v>0.2</v>
      </c>
      <c r="E33" s="115">
        <f t="shared" si="2"/>
        <v>0.2</v>
      </c>
      <c r="F33" s="115">
        <f t="shared" si="2"/>
        <v>0.2</v>
      </c>
      <c r="G33" s="115">
        <f t="shared" si="2"/>
        <v>0.2</v>
      </c>
      <c r="H33" s="115">
        <f t="shared" si="2"/>
        <v>0.2</v>
      </c>
    </row>
    <row r="34" spans="1:8" ht="14.45" x14ac:dyDescent="0.35">
      <c r="A34" s="70" t="s">
        <v>445</v>
      </c>
      <c r="B34" s="116">
        <f>1-B33</f>
        <v>0.8</v>
      </c>
      <c r="C34" s="116">
        <f t="shared" ref="C34:H34" si="3">1-C33</f>
        <v>0.8</v>
      </c>
      <c r="D34" s="116">
        <f t="shared" si="3"/>
        <v>0.8</v>
      </c>
      <c r="E34" s="116">
        <f t="shared" si="3"/>
        <v>0.8</v>
      </c>
      <c r="F34" s="116">
        <f t="shared" si="3"/>
        <v>0.8</v>
      </c>
      <c r="G34" s="116">
        <f t="shared" si="3"/>
        <v>0.8</v>
      </c>
      <c r="H34" s="116">
        <f t="shared" si="3"/>
        <v>0.8</v>
      </c>
    </row>
    <row r="35" spans="1:8" ht="14.45" x14ac:dyDescent="0.35">
      <c r="A35" s="78" t="s">
        <v>163</v>
      </c>
      <c r="B35" s="99">
        <f>B32*B33</f>
        <v>1410.3936000000001</v>
      </c>
      <c r="C35" s="99">
        <f t="shared" ref="C35:H35" si="4">C32*C33</f>
        <v>1645.4591999999998</v>
      </c>
      <c r="D35" s="99">
        <f t="shared" si="4"/>
        <v>1880.5248000000001</v>
      </c>
      <c r="E35" s="99">
        <f t="shared" si="4"/>
        <v>2115.5903999999996</v>
      </c>
      <c r="F35" s="99">
        <f t="shared" si="4"/>
        <v>2350.6559999999999</v>
      </c>
      <c r="G35" s="99">
        <f t="shared" si="4"/>
        <v>2585.7215999999999</v>
      </c>
      <c r="H35" s="99">
        <f t="shared" si="4"/>
        <v>2820.7872000000002</v>
      </c>
    </row>
    <row r="36" spans="1:8" ht="14.45" x14ac:dyDescent="0.35">
      <c r="A36" s="78" t="s">
        <v>164</v>
      </c>
      <c r="B36" s="84"/>
      <c r="C36" s="84"/>
      <c r="D36" s="84"/>
      <c r="E36" s="84"/>
      <c r="F36" s="84"/>
      <c r="G36" s="84"/>
      <c r="H36" s="84"/>
    </row>
    <row r="37" spans="1:8" ht="14.45" hidden="1" x14ac:dyDescent="0.35">
      <c r="A37" s="47" t="str">
        <f t="shared" ref="A37:A55" si="5">A13</f>
        <v>Maize</v>
      </c>
      <c r="B37" s="82">
        <f t="shared" ref="B37:B55" si="6">B13*$B$34</f>
        <v>0</v>
      </c>
      <c r="C37" s="82">
        <f t="shared" ref="C37:H37" si="7">C13*$B$34</f>
        <v>0</v>
      </c>
      <c r="D37" s="82">
        <f t="shared" si="7"/>
        <v>0</v>
      </c>
      <c r="E37" s="82">
        <f t="shared" si="7"/>
        <v>0</v>
      </c>
      <c r="F37" s="82">
        <f t="shared" si="7"/>
        <v>0</v>
      </c>
      <c r="G37" s="82">
        <f t="shared" si="7"/>
        <v>0</v>
      </c>
      <c r="H37" s="82">
        <f t="shared" si="7"/>
        <v>0</v>
      </c>
    </row>
    <row r="38" spans="1:8" ht="14.45" x14ac:dyDescent="0.35">
      <c r="A38" s="47" t="str">
        <f t="shared" si="5"/>
        <v>Red Gram/Tur</v>
      </c>
      <c r="B38" s="82">
        <f t="shared" si="6"/>
        <v>2661.1200000000003</v>
      </c>
      <c r="C38" s="82">
        <f t="shared" ref="C38:C55" si="8">C14*$C$34</f>
        <v>3104.64</v>
      </c>
      <c r="D38" s="82">
        <f t="shared" ref="D38:D55" si="9">D14*$D$34</f>
        <v>3548.16</v>
      </c>
      <c r="E38" s="82">
        <f t="shared" ref="E38:E55" si="10">E14*$E$34</f>
        <v>3991.68</v>
      </c>
      <c r="F38" s="82">
        <f t="shared" ref="F38:F55" si="11">F14*$F$34</f>
        <v>4435.2</v>
      </c>
      <c r="G38" s="82">
        <f t="shared" ref="G38:G55" si="12">G14*$G$34</f>
        <v>4878.72</v>
      </c>
      <c r="H38" s="82">
        <f t="shared" ref="H38:H55" si="13">H14*$H$34</f>
        <v>5322.2400000000007</v>
      </c>
    </row>
    <row r="39" spans="1:8" ht="14.45" hidden="1" x14ac:dyDescent="0.35">
      <c r="A39" s="47" t="str">
        <f t="shared" si="5"/>
        <v>Bajra</v>
      </c>
      <c r="B39" s="82">
        <f t="shared" si="6"/>
        <v>0</v>
      </c>
      <c r="C39" s="82">
        <f t="shared" si="8"/>
        <v>0</v>
      </c>
      <c r="D39" s="82">
        <f t="shared" si="9"/>
        <v>0</v>
      </c>
      <c r="E39" s="82">
        <f t="shared" si="10"/>
        <v>0</v>
      </c>
      <c r="F39" s="82">
        <f t="shared" si="11"/>
        <v>0</v>
      </c>
      <c r="G39" s="82">
        <f t="shared" si="12"/>
        <v>0</v>
      </c>
      <c r="H39" s="82">
        <f t="shared" si="13"/>
        <v>0</v>
      </c>
    </row>
    <row r="40" spans="1:8" ht="14.45" hidden="1" x14ac:dyDescent="0.35">
      <c r="A40" s="47">
        <f t="shared" si="5"/>
        <v>0</v>
      </c>
      <c r="B40" s="82">
        <f t="shared" si="6"/>
        <v>0</v>
      </c>
      <c r="C40" s="82">
        <f t="shared" si="8"/>
        <v>0</v>
      </c>
      <c r="D40" s="82">
        <f t="shared" si="9"/>
        <v>0</v>
      </c>
      <c r="E40" s="82">
        <f t="shared" si="10"/>
        <v>0</v>
      </c>
      <c r="F40" s="82">
        <f t="shared" si="11"/>
        <v>0</v>
      </c>
      <c r="G40" s="82">
        <f t="shared" si="12"/>
        <v>0</v>
      </c>
      <c r="H40" s="82">
        <f t="shared" si="13"/>
        <v>0</v>
      </c>
    </row>
    <row r="41" spans="1:8" ht="14.45" hidden="1" x14ac:dyDescent="0.35">
      <c r="A41" s="47">
        <f t="shared" si="5"/>
        <v>0</v>
      </c>
      <c r="B41" s="82">
        <f t="shared" si="6"/>
        <v>0</v>
      </c>
      <c r="C41" s="82">
        <f t="shared" si="8"/>
        <v>0</v>
      </c>
      <c r="D41" s="82">
        <f t="shared" si="9"/>
        <v>0</v>
      </c>
      <c r="E41" s="82">
        <f t="shared" si="10"/>
        <v>0</v>
      </c>
      <c r="F41" s="82">
        <f t="shared" si="11"/>
        <v>0</v>
      </c>
      <c r="G41" s="82">
        <f t="shared" si="12"/>
        <v>0</v>
      </c>
      <c r="H41" s="82">
        <f t="shared" si="13"/>
        <v>0</v>
      </c>
    </row>
    <row r="42" spans="1:8" ht="14.45" hidden="1" x14ac:dyDescent="0.35">
      <c r="A42" s="47">
        <f t="shared" si="5"/>
        <v>0</v>
      </c>
      <c r="B42" s="82">
        <f t="shared" si="6"/>
        <v>0</v>
      </c>
      <c r="C42" s="82">
        <f t="shared" si="8"/>
        <v>0</v>
      </c>
      <c r="D42" s="82">
        <f t="shared" si="9"/>
        <v>0</v>
      </c>
      <c r="E42" s="82">
        <f t="shared" si="10"/>
        <v>0</v>
      </c>
      <c r="F42" s="82">
        <f t="shared" si="11"/>
        <v>0</v>
      </c>
      <c r="G42" s="82">
        <f t="shared" si="12"/>
        <v>0</v>
      </c>
      <c r="H42" s="82">
        <f t="shared" si="13"/>
        <v>0</v>
      </c>
    </row>
    <row r="43" spans="1:8" ht="14.45" hidden="1" x14ac:dyDescent="0.35">
      <c r="A43" s="47">
        <f t="shared" si="5"/>
        <v>0</v>
      </c>
      <c r="B43" s="82">
        <f t="shared" si="6"/>
        <v>0</v>
      </c>
      <c r="C43" s="82">
        <f t="shared" si="8"/>
        <v>0</v>
      </c>
      <c r="D43" s="82">
        <f t="shared" si="9"/>
        <v>0</v>
      </c>
      <c r="E43" s="82">
        <f t="shared" si="10"/>
        <v>0</v>
      </c>
      <c r="F43" s="82">
        <f t="shared" si="11"/>
        <v>0</v>
      </c>
      <c r="G43" s="82">
        <f t="shared" si="12"/>
        <v>0</v>
      </c>
      <c r="H43" s="82">
        <f t="shared" si="13"/>
        <v>0</v>
      </c>
    </row>
    <row r="44" spans="1:8" ht="14.45" hidden="1" x14ac:dyDescent="0.35">
      <c r="A44" s="47">
        <f t="shared" si="5"/>
        <v>0</v>
      </c>
      <c r="B44" s="82">
        <f t="shared" si="6"/>
        <v>0</v>
      </c>
      <c r="C44" s="82">
        <f t="shared" si="8"/>
        <v>0</v>
      </c>
      <c r="D44" s="82">
        <f t="shared" si="9"/>
        <v>0</v>
      </c>
      <c r="E44" s="82">
        <f t="shared" si="10"/>
        <v>0</v>
      </c>
      <c r="F44" s="82">
        <f t="shared" si="11"/>
        <v>0</v>
      </c>
      <c r="G44" s="82">
        <f t="shared" si="12"/>
        <v>0</v>
      </c>
      <c r="H44" s="82">
        <f t="shared" si="13"/>
        <v>0</v>
      </c>
    </row>
    <row r="45" spans="1:8" ht="14.45" hidden="1" x14ac:dyDescent="0.35">
      <c r="A45" s="47">
        <f t="shared" si="5"/>
        <v>0</v>
      </c>
      <c r="B45" s="82">
        <f t="shared" si="6"/>
        <v>0</v>
      </c>
      <c r="C45" s="82">
        <f t="shared" si="8"/>
        <v>0</v>
      </c>
      <c r="D45" s="82">
        <f t="shared" si="9"/>
        <v>0</v>
      </c>
      <c r="E45" s="82">
        <f t="shared" si="10"/>
        <v>0</v>
      </c>
      <c r="F45" s="82">
        <f t="shared" si="11"/>
        <v>0</v>
      </c>
      <c r="G45" s="82">
        <f t="shared" si="12"/>
        <v>0</v>
      </c>
      <c r="H45" s="82">
        <f t="shared" si="13"/>
        <v>0</v>
      </c>
    </row>
    <row r="46" spans="1:8" ht="14.45" hidden="1" x14ac:dyDescent="0.35">
      <c r="A46" s="47" t="str">
        <f t="shared" si="5"/>
        <v>Wheat</v>
      </c>
      <c r="B46" s="82">
        <f t="shared" si="6"/>
        <v>0</v>
      </c>
      <c r="C46" s="82">
        <f t="shared" si="8"/>
        <v>0</v>
      </c>
      <c r="D46" s="82">
        <f t="shared" si="9"/>
        <v>0</v>
      </c>
      <c r="E46" s="82">
        <f t="shared" si="10"/>
        <v>0</v>
      </c>
      <c r="F46" s="82">
        <f t="shared" si="11"/>
        <v>0</v>
      </c>
      <c r="G46" s="82">
        <f t="shared" si="12"/>
        <v>0</v>
      </c>
      <c r="H46" s="82">
        <f t="shared" si="13"/>
        <v>0</v>
      </c>
    </row>
    <row r="47" spans="1:8" ht="14.45" x14ac:dyDescent="0.35">
      <c r="A47" s="47" t="str">
        <f t="shared" si="5"/>
        <v>Bengal Gram/Channa</v>
      </c>
      <c r="B47" s="82">
        <f t="shared" si="6"/>
        <v>2980.4544000000001</v>
      </c>
      <c r="C47" s="82">
        <f t="shared" si="8"/>
        <v>3477.1967999999997</v>
      </c>
      <c r="D47" s="82">
        <f t="shared" si="9"/>
        <v>3973.9391999999993</v>
      </c>
      <c r="E47" s="82">
        <f t="shared" si="10"/>
        <v>4470.681599999999</v>
      </c>
      <c r="F47" s="82">
        <f t="shared" si="11"/>
        <v>4967.4239999999991</v>
      </c>
      <c r="G47" s="82">
        <f t="shared" si="12"/>
        <v>5464.1663999999992</v>
      </c>
      <c r="H47" s="82">
        <f t="shared" si="13"/>
        <v>5960.9088000000002</v>
      </c>
    </row>
    <row r="48" spans="1:8" ht="14.45" hidden="1" x14ac:dyDescent="0.35">
      <c r="A48" s="47" t="str">
        <f t="shared" si="5"/>
        <v>Jawar</v>
      </c>
      <c r="B48" s="82">
        <f t="shared" si="6"/>
        <v>0</v>
      </c>
      <c r="C48" s="82">
        <f t="shared" si="8"/>
        <v>0</v>
      </c>
      <c r="D48" s="82">
        <f t="shared" si="9"/>
        <v>0</v>
      </c>
      <c r="E48" s="82">
        <f t="shared" si="10"/>
        <v>0</v>
      </c>
      <c r="F48" s="82">
        <f t="shared" si="11"/>
        <v>0</v>
      </c>
      <c r="G48" s="82">
        <f t="shared" si="12"/>
        <v>0</v>
      </c>
      <c r="H48" s="82">
        <f t="shared" si="13"/>
        <v>0</v>
      </c>
    </row>
    <row r="49" spans="1:8" ht="14.45" hidden="1" x14ac:dyDescent="0.35">
      <c r="A49" s="47" t="str">
        <f t="shared" si="5"/>
        <v>Maize</v>
      </c>
      <c r="B49" s="82">
        <f t="shared" si="6"/>
        <v>0</v>
      </c>
      <c r="C49" s="82">
        <f t="shared" si="8"/>
        <v>0</v>
      </c>
      <c r="D49" s="82">
        <f t="shared" si="9"/>
        <v>0</v>
      </c>
      <c r="E49" s="82">
        <f t="shared" si="10"/>
        <v>0</v>
      </c>
      <c r="F49" s="82">
        <f t="shared" si="11"/>
        <v>0</v>
      </c>
      <c r="G49" s="82">
        <f t="shared" si="12"/>
        <v>0</v>
      </c>
      <c r="H49" s="82">
        <f t="shared" si="13"/>
        <v>0</v>
      </c>
    </row>
    <row r="50" spans="1:8" ht="14.45" hidden="1" x14ac:dyDescent="0.35">
      <c r="A50" s="47">
        <f t="shared" si="5"/>
        <v>0</v>
      </c>
      <c r="B50" s="82">
        <f t="shared" si="6"/>
        <v>0</v>
      </c>
      <c r="C50" s="82">
        <f t="shared" si="8"/>
        <v>0</v>
      </c>
      <c r="D50" s="82">
        <f t="shared" si="9"/>
        <v>0</v>
      </c>
      <c r="E50" s="82">
        <f t="shared" si="10"/>
        <v>0</v>
      </c>
      <c r="F50" s="82">
        <f t="shared" si="11"/>
        <v>0</v>
      </c>
      <c r="G50" s="82">
        <f t="shared" si="12"/>
        <v>0</v>
      </c>
      <c r="H50" s="82">
        <f t="shared" si="13"/>
        <v>0</v>
      </c>
    </row>
    <row r="51" spans="1:8" ht="14.45" hidden="1" x14ac:dyDescent="0.35">
      <c r="A51" s="47">
        <f t="shared" si="5"/>
        <v>0</v>
      </c>
      <c r="B51" s="82">
        <f t="shared" si="6"/>
        <v>0</v>
      </c>
      <c r="C51" s="82">
        <f t="shared" si="8"/>
        <v>0</v>
      </c>
      <c r="D51" s="82">
        <f t="shared" si="9"/>
        <v>0</v>
      </c>
      <c r="E51" s="82">
        <f t="shared" si="10"/>
        <v>0</v>
      </c>
      <c r="F51" s="82">
        <f t="shared" si="11"/>
        <v>0</v>
      </c>
      <c r="G51" s="82">
        <f t="shared" si="12"/>
        <v>0</v>
      </c>
      <c r="H51" s="82">
        <f t="shared" si="13"/>
        <v>0</v>
      </c>
    </row>
    <row r="52" spans="1:8" ht="14.45" hidden="1" x14ac:dyDescent="0.35">
      <c r="A52" s="47">
        <f t="shared" si="5"/>
        <v>0</v>
      </c>
      <c r="B52" s="82">
        <f t="shared" si="6"/>
        <v>0</v>
      </c>
      <c r="C52" s="82">
        <f t="shared" si="8"/>
        <v>0</v>
      </c>
      <c r="D52" s="82">
        <f t="shared" si="9"/>
        <v>0</v>
      </c>
      <c r="E52" s="82">
        <f t="shared" si="10"/>
        <v>0</v>
      </c>
      <c r="F52" s="82">
        <f t="shared" si="11"/>
        <v>0</v>
      </c>
      <c r="G52" s="82">
        <f t="shared" si="12"/>
        <v>0</v>
      </c>
      <c r="H52" s="82">
        <f t="shared" si="13"/>
        <v>0</v>
      </c>
    </row>
    <row r="53" spans="1:8" ht="14.45" hidden="1" x14ac:dyDescent="0.35">
      <c r="A53" s="47">
        <f t="shared" si="5"/>
        <v>0</v>
      </c>
      <c r="B53" s="82">
        <f t="shared" si="6"/>
        <v>0</v>
      </c>
      <c r="C53" s="82">
        <f t="shared" si="8"/>
        <v>0</v>
      </c>
      <c r="D53" s="82">
        <f t="shared" si="9"/>
        <v>0</v>
      </c>
      <c r="E53" s="82">
        <f t="shared" si="10"/>
        <v>0</v>
      </c>
      <c r="F53" s="82">
        <f t="shared" si="11"/>
        <v>0</v>
      </c>
      <c r="G53" s="82">
        <f t="shared" si="12"/>
        <v>0</v>
      </c>
      <c r="H53" s="82">
        <f t="shared" si="13"/>
        <v>0</v>
      </c>
    </row>
    <row r="54" spans="1:8" ht="14.45" hidden="1" x14ac:dyDescent="0.35">
      <c r="A54" s="47">
        <f t="shared" si="5"/>
        <v>0</v>
      </c>
      <c r="B54" s="82">
        <f t="shared" si="6"/>
        <v>0</v>
      </c>
      <c r="C54" s="82">
        <f t="shared" si="8"/>
        <v>0</v>
      </c>
      <c r="D54" s="82">
        <f t="shared" si="9"/>
        <v>0</v>
      </c>
      <c r="E54" s="82">
        <f t="shared" si="10"/>
        <v>0</v>
      </c>
      <c r="F54" s="82">
        <f t="shared" si="11"/>
        <v>0</v>
      </c>
      <c r="G54" s="82">
        <f t="shared" si="12"/>
        <v>0</v>
      </c>
      <c r="H54" s="82">
        <f t="shared" si="13"/>
        <v>0</v>
      </c>
    </row>
    <row r="55" spans="1:8" ht="14.45" hidden="1" x14ac:dyDescent="0.35">
      <c r="A55" s="47">
        <f t="shared" si="5"/>
        <v>0</v>
      </c>
      <c r="B55" s="82">
        <f t="shared" si="6"/>
        <v>0</v>
      </c>
      <c r="C55" s="82">
        <f t="shared" si="8"/>
        <v>0</v>
      </c>
      <c r="D55" s="82">
        <f t="shared" si="9"/>
        <v>0</v>
      </c>
      <c r="E55" s="82">
        <f t="shared" si="10"/>
        <v>0</v>
      </c>
      <c r="F55" s="82">
        <f t="shared" si="11"/>
        <v>0</v>
      </c>
      <c r="G55" s="82">
        <f t="shared" si="12"/>
        <v>0</v>
      </c>
      <c r="H55" s="82">
        <f t="shared" si="13"/>
        <v>0</v>
      </c>
    </row>
    <row r="56" spans="1:8" ht="14.45" x14ac:dyDescent="0.35">
      <c r="A56" s="47"/>
      <c r="B56" s="82"/>
      <c r="C56" s="82"/>
      <c r="D56" s="82"/>
      <c r="E56" s="82"/>
      <c r="F56" s="82"/>
      <c r="G56" s="82"/>
      <c r="H56" s="82"/>
    </row>
    <row r="57" spans="1:8" ht="14.45" x14ac:dyDescent="0.35">
      <c r="A57" s="78" t="s">
        <v>272</v>
      </c>
      <c r="B57" s="82"/>
      <c r="C57" s="82"/>
      <c r="D57" s="82"/>
      <c r="E57" s="82"/>
      <c r="F57" s="82"/>
      <c r="G57" s="82"/>
      <c r="H57" s="82"/>
    </row>
    <row r="58" spans="1:8" ht="14.45" hidden="1" x14ac:dyDescent="0.35">
      <c r="A58" s="47" t="str">
        <f>A37</f>
        <v>Maize</v>
      </c>
      <c r="B58" s="82"/>
      <c r="C58" s="82"/>
      <c r="D58" s="82"/>
      <c r="E58" s="82"/>
      <c r="F58" s="82"/>
      <c r="G58" s="82"/>
      <c r="H58" s="82"/>
    </row>
    <row r="59" spans="1:8" ht="14.45" hidden="1" x14ac:dyDescent="0.35">
      <c r="A59" s="47"/>
      <c r="B59" s="82"/>
      <c r="C59" s="82"/>
      <c r="D59" s="82"/>
      <c r="E59" s="82"/>
      <c r="F59" s="82"/>
      <c r="G59" s="82"/>
      <c r="H59" s="82"/>
    </row>
    <row r="60" spans="1:8" ht="14.45" hidden="1" x14ac:dyDescent="0.35">
      <c r="A60" s="47"/>
      <c r="B60" s="82"/>
      <c r="C60" s="82"/>
      <c r="D60" s="82"/>
      <c r="E60" s="82"/>
      <c r="F60" s="82"/>
      <c r="G60" s="82"/>
      <c r="H60" s="82"/>
    </row>
    <row r="61" spans="1:8" ht="14.45" x14ac:dyDescent="0.35">
      <c r="A61" s="47"/>
      <c r="B61" s="82"/>
      <c r="C61" s="82"/>
      <c r="D61" s="82"/>
      <c r="E61" s="82"/>
      <c r="F61" s="82"/>
      <c r="G61" s="82"/>
      <c r="H61" s="82"/>
    </row>
    <row r="62" spans="1:8" ht="14.45" x14ac:dyDescent="0.35">
      <c r="A62" s="47" t="str">
        <f>A38</f>
        <v>Red Gram/Tur</v>
      </c>
      <c r="B62" s="82"/>
      <c r="C62" s="82"/>
      <c r="D62" s="82"/>
      <c r="E62" s="82"/>
      <c r="F62" s="82"/>
      <c r="G62" s="82"/>
      <c r="H62" s="82"/>
    </row>
    <row r="63" spans="1:8" ht="14.45" x14ac:dyDescent="0.35">
      <c r="A63" s="47" t="s">
        <v>708</v>
      </c>
      <c r="B63" s="82">
        <f>B38*90%</f>
        <v>2395.0080000000003</v>
      </c>
      <c r="C63" s="82">
        <f t="shared" ref="C63:H63" si="14">C38*90%</f>
        <v>2794.1759999999999</v>
      </c>
      <c r="D63" s="82">
        <f t="shared" si="14"/>
        <v>3193.3440000000001</v>
      </c>
      <c r="E63" s="82">
        <f t="shared" si="14"/>
        <v>3592.5119999999997</v>
      </c>
      <c r="F63" s="82">
        <f t="shared" si="14"/>
        <v>3991.68</v>
      </c>
      <c r="G63" s="82">
        <f t="shared" si="14"/>
        <v>4390.848</v>
      </c>
      <c r="H63" s="82">
        <f t="shared" si="14"/>
        <v>4790.0160000000005</v>
      </c>
    </row>
    <row r="64" spans="1:8" x14ac:dyDescent="0.25">
      <c r="A64" s="47" t="s">
        <v>140</v>
      </c>
      <c r="B64" s="82">
        <f>B38*10%</f>
        <v>266.11200000000002</v>
      </c>
      <c r="C64" s="82">
        <f t="shared" ref="C64:H64" si="15">C38*10%</f>
        <v>310.464</v>
      </c>
      <c r="D64" s="82">
        <f t="shared" si="15"/>
        <v>354.81600000000003</v>
      </c>
      <c r="E64" s="82">
        <f t="shared" si="15"/>
        <v>399.16800000000001</v>
      </c>
      <c r="F64" s="82">
        <f t="shared" si="15"/>
        <v>443.52</v>
      </c>
      <c r="G64" s="82">
        <f t="shared" si="15"/>
        <v>487.87200000000007</v>
      </c>
      <c r="H64" s="82">
        <f t="shared" si="15"/>
        <v>532.22400000000005</v>
      </c>
    </row>
    <row r="65" spans="1:8" ht="14.45" hidden="1" x14ac:dyDescent="0.35">
      <c r="A65" s="47" t="str">
        <f>A39</f>
        <v>Bajra</v>
      </c>
      <c r="B65" s="82"/>
      <c r="C65" s="82"/>
      <c r="D65" s="82"/>
      <c r="E65" s="82"/>
      <c r="F65" s="82"/>
      <c r="G65" s="82"/>
      <c r="H65" s="82"/>
    </row>
    <row r="66" spans="1:8" ht="14.45" hidden="1" x14ac:dyDescent="0.35">
      <c r="A66" s="47"/>
      <c r="B66" s="82"/>
      <c r="C66" s="82"/>
      <c r="D66" s="82"/>
      <c r="E66" s="82"/>
      <c r="F66" s="82"/>
      <c r="G66" s="82"/>
      <c r="H66" s="82"/>
    </row>
    <row r="67" spans="1:8" ht="14.45" hidden="1" x14ac:dyDescent="0.35">
      <c r="A67" s="47"/>
      <c r="B67" s="82"/>
      <c r="C67" s="82"/>
      <c r="D67" s="82"/>
      <c r="E67" s="82"/>
      <c r="F67" s="82"/>
      <c r="G67" s="82"/>
      <c r="H67" s="82"/>
    </row>
    <row r="68" spans="1:8" ht="14.45" hidden="1" x14ac:dyDescent="0.35">
      <c r="A68" s="47"/>
      <c r="B68" s="82"/>
      <c r="C68" s="82"/>
      <c r="D68" s="82"/>
      <c r="E68" s="82"/>
      <c r="F68" s="82"/>
      <c r="G68" s="82"/>
      <c r="H68" s="82"/>
    </row>
    <row r="69" spans="1:8" ht="14.45" hidden="1" x14ac:dyDescent="0.35">
      <c r="A69" s="47">
        <f>A40</f>
        <v>0</v>
      </c>
      <c r="B69" s="82"/>
      <c r="C69" s="82"/>
      <c r="D69" s="82"/>
      <c r="E69" s="82"/>
      <c r="F69" s="82"/>
      <c r="G69" s="82"/>
      <c r="H69" s="82"/>
    </row>
    <row r="70" spans="1:8" ht="14.45" hidden="1" x14ac:dyDescent="0.35">
      <c r="A70" s="47" t="s">
        <v>436</v>
      </c>
      <c r="B70" s="82">
        <f>B40*80%</f>
        <v>0</v>
      </c>
      <c r="C70" s="82">
        <f t="shared" ref="C70:H70" si="16">C40*80%</f>
        <v>0</v>
      </c>
      <c r="D70" s="82">
        <f t="shared" si="16"/>
        <v>0</v>
      </c>
      <c r="E70" s="82">
        <f t="shared" si="16"/>
        <v>0</v>
      </c>
      <c r="F70" s="82">
        <f t="shared" si="16"/>
        <v>0</v>
      </c>
      <c r="G70" s="82">
        <f t="shared" si="16"/>
        <v>0</v>
      </c>
      <c r="H70" s="82">
        <f t="shared" si="16"/>
        <v>0</v>
      </c>
    </row>
    <row r="71" spans="1:8" ht="14.45" hidden="1" x14ac:dyDescent="0.35">
      <c r="A71" s="47" t="s">
        <v>140</v>
      </c>
      <c r="B71" s="82">
        <f>B40*20%</f>
        <v>0</v>
      </c>
      <c r="C71" s="82">
        <f t="shared" ref="C71:H71" si="17">C40*20%</f>
        <v>0</v>
      </c>
      <c r="D71" s="82">
        <f t="shared" si="17"/>
        <v>0</v>
      </c>
      <c r="E71" s="82">
        <f t="shared" si="17"/>
        <v>0</v>
      </c>
      <c r="F71" s="82">
        <f t="shared" si="17"/>
        <v>0</v>
      </c>
      <c r="G71" s="82">
        <f t="shared" si="17"/>
        <v>0</v>
      </c>
      <c r="H71" s="82">
        <f t="shared" si="17"/>
        <v>0</v>
      </c>
    </row>
    <row r="72" spans="1:8" ht="14.45" hidden="1" x14ac:dyDescent="0.35">
      <c r="A72" s="47">
        <f>A41</f>
        <v>0</v>
      </c>
      <c r="B72" s="82"/>
      <c r="C72" s="82"/>
      <c r="D72" s="82"/>
      <c r="E72" s="82"/>
      <c r="F72" s="82"/>
      <c r="G72" s="82"/>
      <c r="H72" s="82"/>
    </row>
    <row r="73" spans="1:8" ht="14.45" hidden="1" x14ac:dyDescent="0.35">
      <c r="A73" s="47"/>
      <c r="B73" s="82"/>
      <c r="C73" s="82"/>
      <c r="D73" s="82"/>
      <c r="E73" s="82"/>
      <c r="F73" s="82"/>
      <c r="G73" s="82"/>
      <c r="H73" s="82"/>
    </row>
    <row r="74" spans="1:8" ht="14.45" hidden="1" x14ac:dyDescent="0.35">
      <c r="A74" s="47"/>
      <c r="B74" s="82"/>
      <c r="C74" s="82"/>
      <c r="D74" s="82"/>
      <c r="E74" s="82"/>
      <c r="F74" s="82"/>
      <c r="G74" s="82"/>
      <c r="H74" s="82"/>
    </row>
    <row r="75" spans="1:8" ht="14.45" hidden="1" x14ac:dyDescent="0.35">
      <c r="A75" s="47"/>
      <c r="B75" s="82"/>
      <c r="C75" s="82"/>
      <c r="D75" s="82"/>
      <c r="E75" s="82"/>
      <c r="F75" s="82"/>
      <c r="G75" s="82"/>
      <c r="H75" s="82"/>
    </row>
    <row r="76" spans="1:8" ht="14.45" hidden="1" x14ac:dyDescent="0.35">
      <c r="A76" s="47"/>
      <c r="B76" s="82"/>
      <c r="C76" s="82"/>
      <c r="D76" s="82"/>
      <c r="E76" s="82"/>
      <c r="F76" s="82"/>
      <c r="G76" s="82"/>
      <c r="H76" s="82"/>
    </row>
    <row r="77" spans="1:8" ht="14.45" hidden="1" x14ac:dyDescent="0.35">
      <c r="A77" s="47">
        <f>A42</f>
        <v>0</v>
      </c>
      <c r="B77" s="82"/>
      <c r="C77" s="82"/>
      <c r="D77" s="82"/>
      <c r="E77" s="82"/>
      <c r="F77" s="82"/>
      <c r="G77" s="82"/>
      <c r="H77" s="82"/>
    </row>
    <row r="78" spans="1:8" ht="14.45" hidden="1" x14ac:dyDescent="0.35">
      <c r="A78" s="47" t="s">
        <v>436</v>
      </c>
      <c r="B78" s="82">
        <f t="shared" ref="B78:H78" si="18">B42*80%</f>
        <v>0</v>
      </c>
      <c r="C78" s="82">
        <f t="shared" si="18"/>
        <v>0</v>
      </c>
      <c r="D78" s="82">
        <f t="shared" si="18"/>
        <v>0</v>
      </c>
      <c r="E78" s="82">
        <f t="shared" si="18"/>
        <v>0</v>
      </c>
      <c r="F78" s="82">
        <f t="shared" si="18"/>
        <v>0</v>
      </c>
      <c r="G78" s="82">
        <f t="shared" si="18"/>
        <v>0</v>
      </c>
      <c r="H78" s="82">
        <f t="shared" si="18"/>
        <v>0</v>
      </c>
    </row>
    <row r="79" spans="1:8" ht="14.45" hidden="1" x14ac:dyDescent="0.35">
      <c r="A79" s="47" t="s">
        <v>140</v>
      </c>
      <c r="B79" s="82">
        <f t="shared" ref="B79:H79" si="19">B42*20%</f>
        <v>0</v>
      </c>
      <c r="C79" s="82">
        <f t="shared" si="19"/>
        <v>0</v>
      </c>
      <c r="D79" s="82">
        <f t="shared" si="19"/>
        <v>0</v>
      </c>
      <c r="E79" s="82">
        <f t="shared" si="19"/>
        <v>0</v>
      </c>
      <c r="F79" s="82">
        <f t="shared" si="19"/>
        <v>0</v>
      </c>
      <c r="G79" s="82">
        <f t="shared" si="19"/>
        <v>0</v>
      </c>
      <c r="H79" s="82">
        <f t="shared" si="19"/>
        <v>0</v>
      </c>
    </row>
    <row r="80" spans="1:8" ht="14.45" hidden="1" x14ac:dyDescent="0.35">
      <c r="A80" s="47">
        <f>A43</f>
        <v>0</v>
      </c>
      <c r="B80" s="82"/>
      <c r="C80" s="82"/>
      <c r="D80" s="82"/>
      <c r="E80" s="82"/>
      <c r="F80" s="82"/>
      <c r="G80" s="82"/>
      <c r="H80" s="82"/>
    </row>
    <row r="81" spans="1:8" ht="14.45" hidden="1" x14ac:dyDescent="0.35">
      <c r="A81" s="47"/>
      <c r="B81" s="82"/>
      <c r="C81" s="82"/>
      <c r="D81" s="82"/>
      <c r="E81" s="82"/>
      <c r="F81" s="82"/>
      <c r="G81" s="82"/>
      <c r="H81" s="82"/>
    </row>
    <row r="82" spans="1:8" ht="14.45" hidden="1" x14ac:dyDescent="0.35">
      <c r="A82" s="47"/>
      <c r="B82" s="82"/>
      <c r="C82" s="82"/>
      <c r="D82" s="82"/>
      <c r="E82" s="82"/>
      <c r="F82" s="82"/>
      <c r="G82" s="82"/>
      <c r="H82" s="82"/>
    </row>
    <row r="83" spans="1:8" ht="14.45" hidden="1" x14ac:dyDescent="0.35">
      <c r="A83" s="47">
        <f>A44</f>
        <v>0</v>
      </c>
      <c r="B83" s="82"/>
      <c r="C83" s="82"/>
      <c r="D83" s="82"/>
      <c r="E83" s="82"/>
      <c r="F83" s="82"/>
      <c r="G83" s="82"/>
      <c r="H83" s="82"/>
    </row>
    <row r="84" spans="1:8" ht="14.45" hidden="1" x14ac:dyDescent="0.35">
      <c r="A84" s="47"/>
      <c r="B84" s="82"/>
      <c r="C84" s="82"/>
      <c r="D84" s="82"/>
      <c r="E84" s="82"/>
      <c r="F84" s="82"/>
      <c r="G84" s="82"/>
      <c r="H84" s="82"/>
    </row>
    <row r="85" spans="1:8" ht="14.45" hidden="1" x14ac:dyDescent="0.35">
      <c r="A85" s="47"/>
      <c r="B85" s="82"/>
      <c r="C85" s="82"/>
      <c r="D85" s="82"/>
      <c r="E85" s="82"/>
      <c r="F85" s="82"/>
      <c r="G85" s="82"/>
      <c r="H85" s="82"/>
    </row>
    <row r="86" spans="1:8" ht="14.45" hidden="1" x14ac:dyDescent="0.35">
      <c r="A86" s="47"/>
      <c r="B86" s="82"/>
      <c r="C86" s="82"/>
      <c r="D86" s="82"/>
      <c r="E86" s="82"/>
      <c r="F86" s="82"/>
      <c r="G86" s="82"/>
      <c r="H86" s="82"/>
    </row>
    <row r="87" spans="1:8" ht="14.45" hidden="1" x14ac:dyDescent="0.35">
      <c r="A87" s="47">
        <f>A45</f>
        <v>0</v>
      </c>
      <c r="B87" s="82"/>
      <c r="C87" s="82"/>
      <c r="D87" s="82"/>
      <c r="E87" s="82"/>
      <c r="F87" s="82"/>
      <c r="G87" s="82"/>
      <c r="H87" s="82"/>
    </row>
    <row r="88" spans="1:8" ht="14.45" hidden="1" x14ac:dyDescent="0.35">
      <c r="A88" s="47"/>
      <c r="B88" s="82"/>
      <c r="C88" s="82"/>
      <c r="D88" s="82"/>
      <c r="E88" s="82"/>
      <c r="F88" s="82"/>
      <c r="G88" s="82"/>
      <c r="H88" s="82"/>
    </row>
    <row r="89" spans="1:8" ht="14.45" hidden="1" x14ac:dyDescent="0.35">
      <c r="A89" s="47"/>
      <c r="B89" s="82"/>
      <c r="C89" s="82"/>
      <c r="D89" s="82"/>
      <c r="E89" s="82"/>
      <c r="F89" s="82"/>
      <c r="G89" s="82"/>
      <c r="H89" s="82"/>
    </row>
    <row r="90" spans="1:8" ht="14.45" hidden="1" x14ac:dyDescent="0.35">
      <c r="A90" s="47"/>
      <c r="B90" s="82"/>
      <c r="C90" s="82"/>
      <c r="D90" s="82"/>
      <c r="E90" s="82"/>
      <c r="F90" s="82"/>
      <c r="G90" s="82"/>
      <c r="H90" s="82"/>
    </row>
    <row r="91" spans="1:8" ht="14.45" hidden="1" x14ac:dyDescent="0.35">
      <c r="A91" s="47" t="str">
        <f>A46</f>
        <v>Wheat</v>
      </c>
      <c r="B91" s="82"/>
      <c r="C91" s="82"/>
      <c r="D91" s="82"/>
      <c r="E91" s="82"/>
      <c r="F91" s="82"/>
      <c r="G91" s="82"/>
      <c r="H91" s="82"/>
    </row>
    <row r="92" spans="1:8" ht="14.45" hidden="1" x14ac:dyDescent="0.35">
      <c r="A92" s="47"/>
      <c r="B92" s="82"/>
      <c r="C92" s="82"/>
      <c r="D92" s="82"/>
      <c r="E92" s="82"/>
      <c r="F92" s="82"/>
      <c r="G92" s="82"/>
      <c r="H92" s="82"/>
    </row>
    <row r="93" spans="1:8" x14ac:dyDescent="0.25">
      <c r="A93" s="47"/>
      <c r="B93" s="82"/>
      <c r="C93" s="82"/>
      <c r="D93" s="82"/>
      <c r="E93" s="82"/>
      <c r="F93" s="82"/>
      <c r="G93" s="82"/>
      <c r="H93" s="82"/>
    </row>
    <row r="94" spans="1:8" x14ac:dyDescent="0.25">
      <c r="A94" s="47" t="str">
        <f>A47</f>
        <v>Bengal Gram/Channa</v>
      </c>
      <c r="B94" s="82"/>
      <c r="C94" s="82"/>
      <c r="D94" s="82"/>
      <c r="E94" s="82"/>
      <c r="F94" s="82"/>
      <c r="G94" s="82"/>
      <c r="H94" s="82"/>
    </row>
    <row r="95" spans="1:8" x14ac:dyDescent="0.25">
      <c r="A95" s="47" t="s">
        <v>708</v>
      </c>
      <c r="B95" s="82">
        <f>B47*90%</f>
        <v>2682.4089600000002</v>
      </c>
      <c r="C95" s="82">
        <f t="shared" ref="C95:H95" si="20">C47*90%</f>
        <v>3129.47712</v>
      </c>
      <c r="D95" s="82">
        <f t="shared" si="20"/>
        <v>3576.5452799999994</v>
      </c>
      <c r="E95" s="82">
        <f t="shared" si="20"/>
        <v>4023.6134399999992</v>
      </c>
      <c r="F95" s="82">
        <f t="shared" si="20"/>
        <v>4470.681599999999</v>
      </c>
      <c r="G95" s="82">
        <f t="shared" si="20"/>
        <v>4917.7497599999997</v>
      </c>
      <c r="H95" s="82">
        <f t="shared" si="20"/>
        <v>5364.8179200000004</v>
      </c>
    </row>
    <row r="96" spans="1:8" x14ac:dyDescent="0.25">
      <c r="A96" s="47" t="s">
        <v>140</v>
      </c>
      <c r="B96" s="82">
        <f>B47*10%</f>
        <v>298.04544000000004</v>
      </c>
      <c r="C96" s="82">
        <f t="shared" ref="C96:H96" si="21">C47*10%</f>
        <v>347.71967999999998</v>
      </c>
      <c r="D96" s="82">
        <f t="shared" si="21"/>
        <v>397.39391999999998</v>
      </c>
      <c r="E96" s="82">
        <f t="shared" si="21"/>
        <v>447.06815999999992</v>
      </c>
      <c r="F96" s="82">
        <f t="shared" si="21"/>
        <v>496.74239999999992</v>
      </c>
      <c r="G96" s="82">
        <f t="shared" si="21"/>
        <v>546.41663999999992</v>
      </c>
      <c r="H96" s="82">
        <f t="shared" si="21"/>
        <v>596.09088000000008</v>
      </c>
    </row>
    <row r="97" spans="1:8" ht="14.45" hidden="1" x14ac:dyDescent="0.35">
      <c r="A97" s="47" t="str">
        <f>A48</f>
        <v>Jawar</v>
      </c>
      <c r="B97" s="82"/>
      <c r="C97" s="82"/>
      <c r="D97" s="82"/>
      <c r="E97" s="82"/>
      <c r="F97" s="82"/>
      <c r="G97" s="82"/>
      <c r="H97" s="82"/>
    </row>
    <row r="98" spans="1:8" ht="14.45" hidden="1" x14ac:dyDescent="0.35">
      <c r="A98" s="47"/>
      <c r="B98" s="82"/>
      <c r="C98" s="82"/>
      <c r="D98" s="82"/>
      <c r="E98" s="82"/>
      <c r="F98" s="82"/>
      <c r="G98" s="82"/>
      <c r="H98" s="82"/>
    </row>
    <row r="99" spans="1:8" ht="14.45" hidden="1" x14ac:dyDescent="0.35">
      <c r="A99" s="47"/>
      <c r="B99" s="82"/>
      <c r="C99" s="82"/>
      <c r="D99" s="82"/>
      <c r="E99" s="82"/>
      <c r="F99" s="82"/>
      <c r="G99" s="82"/>
      <c r="H99" s="82"/>
    </row>
    <row r="100" spans="1:8" ht="14.45" hidden="1" x14ac:dyDescent="0.35">
      <c r="A100" s="47" t="str">
        <f>A49</f>
        <v>Maize</v>
      </c>
      <c r="B100" s="82"/>
      <c r="C100" s="82"/>
      <c r="D100" s="82"/>
      <c r="E100" s="82"/>
      <c r="F100" s="82"/>
      <c r="G100" s="82"/>
      <c r="H100" s="82"/>
    </row>
    <row r="101" spans="1:8" ht="14.45" hidden="1" x14ac:dyDescent="0.35">
      <c r="A101" s="47"/>
      <c r="B101" s="82"/>
      <c r="C101" s="82"/>
      <c r="D101" s="82"/>
      <c r="E101" s="82"/>
      <c r="F101" s="82"/>
      <c r="G101" s="82"/>
      <c r="H101" s="82"/>
    </row>
    <row r="102" spans="1:8" ht="14.45" hidden="1" x14ac:dyDescent="0.35">
      <c r="A102" s="47"/>
      <c r="B102" s="82"/>
      <c r="C102" s="82"/>
      <c r="D102" s="82"/>
      <c r="E102" s="82"/>
      <c r="F102" s="82"/>
      <c r="G102" s="82"/>
      <c r="H102" s="82"/>
    </row>
    <row r="103" spans="1:8" ht="14.45" hidden="1" x14ac:dyDescent="0.35">
      <c r="A103" s="47">
        <f>A50</f>
        <v>0</v>
      </c>
      <c r="B103" s="82"/>
      <c r="C103" s="82"/>
      <c r="D103" s="82"/>
      <c r="E103" s="82"/>
      <c r="F103" s="82"/>
      <c r="G103" s="82"/>
      <c r="H103" s="82"/>
    </row>
    <row r="104" spans="1:8" ht="14.45" hidden="1" x14ac:dyDescent="0.35">
      <c r="A104" s="47"/>
      <c r="B104" s="82"/>
      <c r="C104" s="82"/>
      <c r="D104" s="82"/>
      <c r="E104" s="82"/>
      <c r="F104" s="82"/>
      <c r="G104" s="82"/>
      <c r="H104" s="82"/>
    </row>
    <row r="105" spans="1:8" ht="14.45" hidden="1" x14ac:dyDescent="0.35">
      <c r="A105" s="47"/>
      <c r="B105" s="82"/>
      <c r="C105" s="82"/>
      <c r="D105" s="82"/>
      <c r="E105" s="82"/>
      <c r="F105" s="82"/>
      <c r="G105" s="82"/>
      <c r="H105" s="82"/>
    </row>
    <row r="106" spans="1:8" ht="14.45" hidden="1" x14ac:dyDescent="0.35">
      <c r="A106" s="47">
        <f>A51</f>
        <v>0</v>
      </c>
      <c r="B106" s="82"/>
      <c r="C106" s="82"/>
      <c r="D106" s="82"/>
      <c r="E106" s="82"/>
      <c r="F106" s="82"/>
      <c r="G106" s="82"/>
      <c r="H106" s="82"/>
    </row>
    <row r="107" spans="1:8" ht="14.45" hidden="1" x14ac:dyDescent="0.35">
      <c r="A107" s="47"/>
      <c r="B107" s="82"/>
      <c r="C107" s="82"/>
      <c r="D107" s="82"/>
      <c r="E107" s="82"/>
      <c r="F107" s="82"/>
      <c r="G107" s="82"/>
      <c r="H107" s="82"/>
    </row>
    <row r="108" spans="1:8" ht="14.45" hidden="1" x14ac:dyDescent="0.35">
      <c r="A108" s="47"/>
      <c r="B108" s="82"/>
      <c r="C108" s="82"/>
      <c r="D108" s="82"/>
      <c r="E108" s="82"/>
      <c r="F108" s="82"/>
      <c r="G108" s="82"/>
      <c r="H108" s="82"/>
    </row>
    <row r="109" spans="1:8" ht="14.45" hidden="1" x14ac:dyDescent="0.35">
      <c r="A109" s="47">
        <f>A52</f>
        <v>0</v>
      </c>
      <c r="B109" s="82"/>
      <c r="C109" s="82"/>
      <c r="D109" s="82"/>
      <c r="E109" s="82"/>
      <c r="F109" s="82"/>
      <c r="G109" s="82"/>
      <c r="H109" s="82"/>
    </row>
    <row r="110" spans="1:8" ht="14.45" hidden="1" x14ac:dyDescent="0.35">
      <c r="A110" s="47"/>
      <c r="B110" s="82"/>
      <c r="C110" s="82"/>
      <c r="D110" s="82"/>
      <c r="E110" s="82"/>
      <c r="F110" s="82"/>
      <c r="G110" s="82"/>
      <c r="H110" s="82"/>
    </row>
    <row r="111" spans="1:8" ht="14.45" hidden="1" x14ac:dyDescent="0.35">
      <c r="A111" s="47"/>
      <c r="B111" s="82"/>
      <c r="C111" s="82"/>
      <c r="D111" s="82"/>
      <c r="E111" s="82"/>
      <c r="F111" s="82"/>
      <c r="G111" s="82"/>
      <c r="H111" s="82"/>
    </row>
    <row r="112" spans="1:8" ht="14.45" hidden="1" x14ac:dyDescent="0.35">
      <c r="A112" s="47">
        <f>A53</f>
        <v>0</v>
      </c>
      <c r="B112" s="82"/>
      <c r="C112" s="82"/>
      <c r="D112" s="82"/>
      <c r="E112" s="82"/>
      <c r="F112" s="82"/>
      <c r="G112" s="82"/>
      <c r="H112" s="82"/>
    </row>
    <row r="113" spans="1:8" ht="14.45" hidden="1" x14ac:dyDescent="0.35">
      <c r="A113" s="47"/>
      <c r="B113" s="82"/>
      <c r="C113" s="82"/>
      <c r="D113" s="82"/>
      <c r="E113" s="82"/>
      <c r="F113" s="82"/>
      <c r="G113" s="82"/>
      <c r="H113" s="82"/>
    </row>
    <row r="114" spans="1:8" ht="14.45" hidden="1" x14ac:dyDescent="0.35">
      <c r="A114" s="47"/>
      <c r="B114" s="82"/>
      <c r="C114" s="82"/>
      <c r="D114" s="82"/>
      <c r="E114" s="82"/>
      <c r="F114" s="82"/>
      <c r="G114" s="82"/>
      <c r="H114" s="82"/>
    </row>
    <row r="115" spans="1:8" ht="14.45" hidden="1" x14ac:dyDescent="0.35">
      <c r="A115" s="47">
        <f>A54</f>
        <v>0</v>
      </c>
      <c r="B115" s="82"/>
      <c r="C115" s="82"/>
      <c r="D115" s="82"/>
      <c r="E115" s="82"/>
      <c r="F115" s="82"/>
      <c r="G115" s="82"/>
      <c r="H115" s="82"/>
    </row>
    <row r="116" spans="1:8" ht="14.45" hidden="1" x14ac:dyDescent="0.35">
      <c r="A116" s="47"/>
      <c r="B116" s="82"/>
      <c r="C116" s="82"/>
      <c r="D116" s="82"/>
      <c r="E116" s="82"/>
      <c r="F116" s="82"/>
      <c r="G116" s="82"/>
      <c r="H116" s="82"/>
    </row>
    <row r="117" spans="1:8" ht="14.45" hidden="1" x14ac:dyDescent="0.35">
      <c r="A117" s="47"/>
      <c r="B117" s="82"/>
      <c r="C117" s="82"/>
      <c r="D117" s="82"/>
      <c r="E117" s="82"/>
      <c r="F117" s="82"/>
      <c r="G117" s="82"/>
      <c r="H117" s="82"/>
    </row>
    <row r="118" spans="1:8" ht="14.45" hidden="1" x14ac:dyDescent="0.35">
      <c r="A118" s="47">
        <f>A55</f>
        <v>0</v>
      </c>
      <c r="B118" s="82"/>
      <c r="C118" s="82"/>
      <c r="D118" s="82"/>
      <c r="E118" s="82"/>
      <c r="F118" s="82"/>
      <c r="G118" s="82"/>
      <c r="H118" s="82"/>
    </row>
    <row r="119" spans="1:8" ht="14.45" hidden="1" x14ac:dyDescent="0.35">
      <c r="A119" s="47"/>
      <c r="B119" s="82"/>
      <c r="C119" s="82"/>
      <c r="D119" s="82"/>
      <c r="E119" s="82"/>
      <c r="F119" s="82"/>
      <c r="G119" s="82"/>
      <c r="H119" s="82"/>
    </row>
    <row r="120" spans="1:8" ht="14.45" hidden="1" x14ac:dyDescent="0.35">
      <c r="A120" s="47"/>
      <c r="B120" s="82"/>
      <c r="C120" s="82"/>
      <c r="D120" s="82"/>
      <c r="E120" s="82"/>
      <c r="F120" s="82"/>
      <c r="G120" s="82"/>
      <c r="H120" s="82"/>
    </row>
    <row r="121" spans="1:8" ht="14.45" hidden="1" x14ac:dyDescent="0.35">
      <c r="A121" s="47">
        <f>A56</f>
        <v>0</v>
      </c>
      <c r="B121" s="82"/>
      <c r="C121" s="82"/>
      <c r="D121" s="82"/>
      <c r="E121" s="82"/>
      <c r="F121" s="82"/>
      <c r="G121" s="82"/>
      <c r="H121" s="82"/>
    </row>
    <row r="122" spans="1:8" x14ac:dyDescent="0.25">
      <c r="A122" s="72"/>
      <c r="B122" s="117"/>
      <c r="C122" s="117"/>
      <c r="D122" s="117"/>
      <c r="E122" s="117"/>
      <c r="F122" s="117"/>
      <c r="G122" s="117"/>
      <c r="H122" s="117"/>
    </row>
    <row r="123" spans="1:8" x14ac:dyDescent="0.25">
      <c r="A123" s="72"/>
      <c r="B123" s="117"/>
      <c r="C123" s="117"/>
      <c r="D123" s="117"/>
      <c r="E123" s="117"/>
      <c r="F123" s="117"/>
      <c r="G123" s="117"/>
      <c r="H123" s="117"/>
    </row>
    <row r="124" spans="1:8" x14ac:dyDescent="0.25">
      <c r="A124" s="73" t="s">
        <v>422</v>
      </c>
      <c r="B124" s="39">
        <v>50</v>
      </c>
    </row>
    <row r="131" spans="1:10" x14ac:dyDescent="0.25">
      <c r="A131" s="427" t="s">
        <v>542</v>
      </c>
      <c r="B131" s="427"/>
      <c r="C131" s="427"/>
      <c r="D131" s="427"/>
      <c r="E131" s="427"/>
      <c r="F131" s="427"/>
      <c r="G131" s="427"/>
      <c r="H131" s="427"/>
      <c r="I131" s="427"/>
      <c r="J131" s="427"/>
    </row>
    <row r="132" spans="1:10" x14ac:dyDescent="0.25">
      <c r="A132" s="96"/>
      <c r="B132" s="96"/>
      <c r="C132" s="96"/>
      <c r="D132" s="96"/>
      <c r="E132" s="96"/>
      <c r="F132" s="96"/>
      <c r="G132" s="96"/>
      <c r="H132" s="96"/>
    </row>
    <row r="133" spans="1:10" x14ac:dyDescent="0.25">
      <c r="A133" s="96"/>
      <c r="B133" s="96"/>
      <c r="C133" s="96"/>
      <c r="D133" s="108">
        <v>1</v>
      </c>
      <c r="E133" s="109">
        <f>(D133*5%)+D133</f>
        <v>1.05</v>
      </c>
      <c r="F133" s="109">
        <f t="shared" ref="F133:J133" si="22">(E133*5%)+E133</f>
        <v>1.1025</v>
      </c>
      <c r="G133" s="109">
        <f t="shared" si="22"/>
        <v>1.1576250000000001</v>
      </c>
      <c r="H133" s="109">
        <f t="shared" si="22"/>
        <v>1.2155062500000002</v>
      </c>
      <c r="I133" s="109">
        <f t="shared" si="22"/>
        <v>1.2762815625000004</v>
      </c>
      <c r="J133" s="109">
        <f t="shared" si="22"/>
        <v>1.3400956406250004</v>
      </c>
    </row>
    <row r="135" spans="1:10" x14ac:dyDescent="0.25">
      <c r="A135" s="76" t="s">
        <v>0</v>
      </c>
      <c r="B135" s="76" t="s">
        <v>132</v>
      </c>
      <c r="C135" s="76" t="s">
        <v>150</v>
      </c>
      <c r="D135" s="77" t="s">
        <v>2</v>
      </c>
      <c r="E135" s="77" t="s">
        <v>3</v>
      </c>
      <c r="F135" s="77" t="s">
        <v>4</v>
      </c>
      <c r="G135" s="77" t="s">
        <v>5</v>
      </c>
      <c r="H135" s="77" t="s">
        <v>6</v>
      </c>
      <c r="I135" s="77" t="s">
        <v>166</v>
      </c>
      <c r="J135" s="77" t="s">
        <v>165</v>
      </c>
    </row>
    <row r="136" spans="1:10" x14ac:dyDescent="0.25">
      <c r="A136" s="47"/>
      <c r="B136" s="47"/>
      <c r="C136" s="47"/>
      <c r="D136" s="47"/>
      <c r="E136" s="47"/>
      <c r="F136" s="47"/>
      <c r="G136" s="47"/>
      <c r="H136" s="47"/>
      <c r="I136" s="47"/>
      <c r="J136" s="47"/>
    </row>
    <row r="137" spans="1:10" x14ac:dyDescent="0.25">
      <c r="A137" s="78" t="s">
        <v>126</v>
      </c>
      <c r="B137" s="78"/>
      <c r="C137" s="78"/>
      <c r="D137" s="120"/>
      <c r="E137" s="120"/>
      <c r="F137" s="120"/>
      <c r="G137" s="120"/>
      <c r="H137" s="120"/>
      <c r="I137" s="47"/>
      <c r="J137" s="47"/>
    </row>
    <row r="138" spans="1:10" x14ac:dyDescent="0.25">
      <c r="A138" s="78" t="s">
        <v>301</v>
      </c>
      <c r="B138" s="78"/>
      <c r="C138" s="78"/>
      <c r="D138" s="47"/>
      <c r="E138" s="47"/>
      <c r="F138" s="47"/>
      <c r="G138" s="47"/>
      <c r="H138" s="47"/>
      <c r="I138" s="47"/>
      <c r="J138" s="47"/>
    </row>
    <row r="139" spans="1:10" x14ac:dyDescent="0.25">
      <c r="A139" s="47" t="s">
        <v>732</v>
      </c>
      <c r="B139" s="85" t="s">
        <v>341</v>
      </c>
      <c r="C139" s="85">
        <v>3000</v>
      </c>
      <c r="D139" s="82">
        <f>(((B95*100)*(1-'5.Closing Stock &amp; W Capital'!$D$17))/$B$124)*$C$139*D133</f>
        <v>15933509.2224</v>
      </c>
      <c r="E139" s="82">
        <f>E133*((((C95*100)*(1-'5.Closing Stock &amp; W Capital'!$D$17))+((B95*100)*'5.Closing Stock &amp; W Capital'!$D$17))/$B$124)*$C$139</f>
        <v>19687540.561919998</v>
      </c>
      <c r="F139" s="82">
        <f>F133*((((D95*100)*(1-'5.Closing Stock &amp; W Capital'!$D$17))+((C95*100)*'5.Closing Stock &amp; W Capital'!$D$17))/$B$124)*$C$139</f>
        <v>23629273.468415994</v>
      </c>
      <c r="G139" s="82">
        <f>G133*((((E95*100)*(1-'5.Closing Stock &amp; W Capital'!$D$17))+((D95*100)*'5.Closing Stock &amp; W Capital'!$D$17))/$B$124)*$C$139</f>
        <v>27915960.814156797</v>
      </c>
      <c r="H139" s="82">
        <f>H133*((((F95*100)*(1-'5.Closing Stock &amp; W Capital'!$D$17))+((E95*100)*'5.Closing Stock &amp; W Capital'!$D$17))/$B$124)*$C$139</f>
        <v>32572243.710800637</v>
      </c>
      <c r="I139" s="82">
        <f>I133*((((G95*100)*(1-'5.Closing Stock &amp; W Capital'!$D$17))+((F95*100)*'5.Closing Stock &amp; W Capital'!$D$17))/$B$124)*$C$139</f>
        <v>37624364.995073482</v>
      </c>
      <c r="J139" s="82">
        <f>J133*((((H95*100)*(1-'5.Closing Stock &amp; W Capital'!$D$17))+((G95*100)*'5.Closing Stock &amp; W Capital'!$D$17))/$B$124)*$C$139</f>
        <v>43100267.798496597</v>
      </c>
    </row>
    <row r="140" spans="1:10" x14ac:dyDescent="0.25">
      <c r="A140" s="47" t="s">
        <v>733</v>
      </c>
      <c r="B140" s="85" t="s">
        <v>341</v>
      </c>
      <c r="C140" s="85">
        <v>3100</v>
      </c>
      <c r="D140" s="82">
        <f>(((B63*100)*(1-'5.Closing Stock &amp; W Capital'!$D$17))/B124)*$C$140*D133</f>
        <v>14700559.104</v>
      </c>
      <c r="E140" s="82">
        <f>((((C63*100)*(1-'5.Closing Stock &amp; W Capital'!$D$17))+((B63*100)*'5.Closing Stock &amp; W Capital'!$D$17))/$B$124)*$C$140*E133</f>
        <v>18164099.9232</v>
      </c>
      <c r="F140" s="82">
        <f>((((D63*100)*(1-'5.Closing Stock &amp; W Capital'!$D$17))+((C63*100)*'5.Closing Stock &amp; W Capital'!$D$17))/$B$124)*$C$140*F133</f>
        <v>21800817.783360001</v>
      </c>
      <c r="G140" s="82">
        <f>((((E63*100)*(1-'5.Closing Stock &amp; W Capital'!$D$17))+((D63*100)*'5.Closing Stock &amp; W Capital'!$D$17))/$B$124)*$C$140*G133</f>
        <v>25755797.179728001</v>
      </c>
      <c r="H140" s="82">
        <f>((((F63*100)*(1-'5.Closing Stock &amp; W Capital'!$D$17))+((E63*100)*'5.Closing Stock &amp; W Capital'!$D$17))/$B$124)*$C$140*H133</f>
        <v>30051772.471274406</v>
      </c>
      <c r="I140" s="82">
        <f>((((G63*100)*(1-'5.Closing Stock &amp; W Capital'!$D$17))+((F63*100)*'5.Closing Stock &amp; W Capital'!$D$17))/$B$124)*$C$140*I133</f>
        <v>34712955.799026132</v>
      </c>
      <c r="J140" s="82">
        <f>((((H63*100)*(1-'5.Closing Stock &amp; W Capital'!$D$17))+((G63*100)*'5.Closing Stock &amp; W Capital'!$D$17))/$B$124)*$C$140*J133</f>
        <v>39765128.028374843</v>
      </c>
    </row>
    <row r="141" spans="1:10" ht="14.45" hidden="1" x14ac:dyDescent="0.35">
      <c r="A141" s="47" t="s">
        <v>302</v>
      </c>
      <c r="B141" s="85" t="s">
        <v>341</v>
      </c>
      <c r="C141" s="85">
        <f>80*50</f>
        <v>4000</v>
      </c>
      <c r="D141" s="82">
        <f>(((B78*100)*(1-'5.Closing Stock &amp; W Capital'!D17))/$B$124)*$C$141*D133</f>
        <v>0</v>
      </c>
      <c r="E141" s="82">
        <f>((((C78*100)*(1-'5.Closing Stock &amp; W Capital'!$D$17))+((B78*100)*'5.Closing Stock &amp; W Capital'!$D$17))/$B$124)*$C$141*E133</f>
        <v>0</v>
      </c>
      <c r="F141" s="82">
        <f>((((D78*100)*(1-'5.Closing Stock &amp; W Capital'!$D$17))+((C78*100)*'5.Closing Stock &amp; W Capital'!$D$17))/$B$124)*$C$141*F133</f>
        <v>0</v>
      </c>
      <c r="G141" s="82">
        <f>((((E78*100)*(1-'5.Closing Stock &amp; W Capital'!$D$17))+((D78*100)*'5.Closing Stock &amp; W Capital'!$D$17))/$B$124)*$C$141*G133</f>
        <v>0</v>
      </c>
      <c r="H141" s="82">
        <f>((((F78*100)*(1-'5.Closing Stock &amp; W Capital'!$D$17))+((E78*100)*'5.Closing Stock &amp; W Capital'!$D$17))/$B$124)*$C$141*H133</f>
        <v>0</v>
      </c>
      <c r="I141" s="82">
        <f>((((G78*100)*(1-'5.Closing Stock &amp; W Capital'!$D$17))+((F78*100)*'5.Closing Stock &amp; W Capital'!$D$17))/$B$124)*$C$141*I133</f>
        <v>0</v>
      </c>
      <c r="J141" s="82">
        <f>((((H78*100)*(1-'5.Closing Stock &amp; W Capital'!$D$17))+((G78*100)*'5.Closing Stock &amp; W Capital'!$D$17))/$B$124)*$C$141*J133</f>
        <v>0</v>
      </c>
    </row>
    <row r="142" spans="1:10" ht="14.45" hidden="1" x14ac:dyDescent="0.35">
      <c r="A142" s="47" t="s">
        <v>300</v>
      </c>
      <c r="B142" s="85" t="s">
        <v>341</v>
      </c>
      <c r="C142" s="85">
        <f>80*50</f>
        <v>4000</v>
      </c>
      <c r="D142" s="82">
        <f>(((B70*100)*(1-'5.Closing Stock &amp; W Capital'!D17))/B124)*$C$142*D133</f>
        <v>0</v>
      </c>
      <c r="E142" s="82">
        <f>((((C70*100)*(1-'5.Closing Stock &amp; W Capital'!$D$17))+((B70*100)*'5.Closing Stock &amp; W Capital'!$D$17))/$B$124)*$C$142*E133</f>
        <v>0</v>
      </c>
      <c r="F142" s="82">
        <f>((((D70*100)*(1-'5.Closing Stock &amp; W Capital'!$D$17))+((C70*100)*'5.Closing Stock &amp; W Capital'!$D$17))/$B$124)*$C$142*F133</f>
        <v>0</v>
      </c>
      <c r="G142" s="82">
        <f>((((E70*100)*(1-'5.Closing Stock &amp; W Capital'!$D$17))+((D70*100)*'5.Closing Stock &amp; W Capital'!$D$17))/$B$124)*$C$142*G133</f>
        <v>0</v>
      </c>
      <c r="H142" s="82">
        <f>((((F70*100)*(1-'5.Closing Stock &amp; W Capital'!$D$17))+((E70*100)*'5.Closing Stock &amp; W Capital'!$D$17))/$B$124)*$C$142*H133</f>
        <v>0</v>
      </c>
      <c r="I142" s="82">
        <f>((((G70*100)*(1-'5.Closing Stock &amp; W Capital'!$D$17))+((F70*100)*'5.Closing Stock &amp; W Capital'!$D$17))/$B$124)*$C$142*I133</f>
        <v>0</v>
      </c>
      <c r="J142" s="82">
        <f>((((H70*100)*(1-'5.Closing Stock &amp; W Capital'!$D$17))+((G70*100)*'5.Closing Stock &amp; W Capital'!$D$17))/$B$124)*$C$142*J133</f>
        <v>0</v>
      </c>
    </row>
    <row r="143" spans="1:10" x14ac:dyDescent="0.25">
      <c r="A143" s="47"/>
      <c r="B143" s="47"/>
      <c r="C143" s="47"/>
      <c r="D143" s="82"/>
      <c r="E143" s="82"/>
      <c r="F143" s="82"/>
      <c r="G143" s="82"/>
      <c r="H143" s="82"/>
      <c r="I143" s="82"/>
      <c r="J143" s="82"/>
    </row>
    <row r="144" spans="1:10" x14ac:dyDescent="0.25">
      <c r="A144" s="47" t="s">
        <v>140</v>
      </c>
      <c r="B144" s="85" t="s">
        <v>342</v>
      </c>
      <c r="C144" s="85">
        <v>10</v>
      </c>
      <c r="D144" s="82">
        <f t="shared" ref="D144:J144" si="23">((B63+B95+B78+B70)*100)*$C$144*D133</f>
        <v>5077416.9600000009</v>
      </c>
      <c r="E144" s="82">
        <f t="shared" si="23"/>
        <v>6219835.7760000005</v>
      </c>
      <c r="F144" s="82">
        <f t="shared" si="23"/>
        <v>7463802.9311999995</v>
      </c>
      <c r="G144" s="82">
        <f t="shared" si="23"/>
        <v>8816617.2124799993</v>
      </c>
      <c r="H144" s="82">
        <f t="shared" si="23"/>
        <v>10286053.414559999</v>
      </c>
      <c r="I144" s="82">
        <f t="shared" si="23"/>
        <v>11880391.693816805</v>
      </c>
      <c r="J144" s="82">
        <f t="shared" si="23"/>
        <v>13608448.667462887</v>
      </c>
    </row>
    <row r="145" spans="1:11" x14ac:dyDescent="0.25">
      <c r="A145" s="47"/>
      <c r="B145" s="85"/>
      <c r="C145" s="85"/>
      <c r="D145" s="82"/>
      <c r="E145" s="82"/>
      <c r="F145" s="82"/>
      <c r="G145" s="82"/>
      <c r="H145" s="82"/>
      <c r="I145" s="82"/>
      <c r="J145" s="82"/>
      <c r="K145" s="123">
        <f>[2]Output!T58*70*K133</f>
        <v>0</v>
      </c>
    </row>
    <row r="146" spans="1:11" x14ac:dyDescent="0.25">
      <c r="A146" s="47" t="s">
        <v>278</v>
      </c>
      <c r="B146" s="85" t="s">
        <v>342</v>
      </c>
      <c r="C146" s="85">
        <v>10</v>
      </c>
      <c r="D146" s="82">
        <f t="shared" ref="D146:J146" si="24">(B35*100)*$C$146*D133</f>
        <v>1410393.6</v>
      </c>
      <c r="E146" s="82">
        <f t="shared" si="24"/>
        <v>1727732.1599999997</v>
      </c>
      <c r="F146" s="82">
        <f t="shared" si="24"/>
        <v>2073278.5920000002</v>
      </c>
      <c r="G146" s="82">
        <f t="shared" si="24"/>
        <v>2449060.3367999997</v>
      </c>
      <c r="H146" s="82">
        <f t="shared" si="24"/>
        <v>2857237.0596000007</v>
      </c>
      <c r="I146" s="82">
        <f t="shared" si="24"/>
        <v>3300108.8038380006</v>
      </c>
      <c r="J146" s="82">
        <f t="shared" si="24"/>
        <v>3780124.6298508015</v>
      </c>
    </row>
    <row r="147" spans="1:11" x14ac:dyDescent="0.25">
      <c r="A147" s="47"/>
      <c r="B147" s="47"/>
      <c r="C147" s="47"/>
      <c r="D147" s="82"/>
      <c r="E147" s="82"/>
      <c r="F147" s="82"/>
      <c r="G147" s="82"/>
      <c r="H147" s="82"/>
      <c r="I147" s="82"/>
      <c r="J147" s="82"/>
    </row>
    <row r="148" spans="1:11" x14ac:dyDescent="0.25">
      <c r="A148" s="78" t="s">
        <v>126</v>
      </c>
      <c r="B148" s="78"/>
      <c r="C148" s="78"/>
      <c r="D148" s="84">
        <f>SUM(D139:D146)</f>
        <v>37121878.886400007</v>
      </c>
      <c r="E148" s="84">
        <f t="shared" ref="E148:J148" si="25">SUM(E139:E146)</f>
        <v>45799208.421119995</v>
      </c>
      <c r="F148" s="84">
        <f t="shared" si="25"/>
        <v>54967172.774975993</v>
      </c>
      <c r="G148" s="84">
        <f t="shared" si="25"/>
        <v>64937435.543164805</v>
      </c>
      <c r="H148" s="84">
        <f t="shared" si="25"/>
        <v>75767306.656235039</v>
      </c>
      <c r="I148" s="84">
        <f t="shared" si="25"/>
        <v>87517821.291754425</v>
      </c>
      <c r="J148" s="84">
        <f t="shared" si="25"/>
        <v>100253969.12418513</v>
      </c>
    </row>
    <row r="149" spans="1:11" x14ac:dyDescent="0.25">
      <c r="A149" s="47"/>
      <c r="B149" s="47"/>
      <c r="C149" s="47"/>
      <c r="D149" s="82"/>
      <c r="E149" s="82"/>
      <c r="F149" s="82"/>
      <c r="G149" s="82"/>
      <c r="H149" s="82"/>
      <c r="I149" s="82"/>
      <c r="J149" s="82"/>
    </row>
    <row r="150" spans="1:11" x14ac:dyDescent="0.25">
      <c r="A150" s="78" t="s">
        <v>141</v>
      </c>
      <c r="B150" s="78"/>
      <c r="C150" s="78"/>
      <c r="D150" s="82"/>
      <c r="E150" s="82"/>
      <c r="F150" s="82"/>
      <c r="G150" s="82"/>
      <c r="H150" s="82"/>
      <c r="I150" s="82"/>
      <c r="J150" s="82"/>
    </row>
    <row r="151" spans="1:11" x14ac:dyDescent="0.25">
      <c r="A151" s="78" t="s">
        <v>295</v>
      </c>
      <c r="B151" s="78"/>
      <c r="C151" s="47"/>
      <c r="D151" s="82"/>
      <c r="E151" s="82"/>
      <c r="F151" s="82"/>
      <c r="G151" s="82"/>
      <c r="H151" s="82"/>
      <c r="I151" s="82"/>
      <c r="J151" s="82"/>
    </row>
    <row r="152" spans="1:11" x14ac:dyDescent="0.25">
      <c r="A152" s="70" t="s">
        <v>161</v>
      </c>
      <c r="B152" s="85" t="s">
        <v>343</v>
      </c>
      <c r="C152" s="97">
        <f>'12.Facility 1 - Trading'!C243</f>
        <v>4800</v>
      </c>
      <c r="D152" s="82">
        <f t="shared" ref="D152:J152" si="26">(B47)*$C$152*D133</f>
        <v>14306181.120000001</v>
      </c>
      <c r="E152" s="82">
        <f t="shared" si="26"/>
        <v>17525071.871999998</v>
      </c>
      <c r="F152" s="82">
        <f t="shared" si="26"/>
        <v>21030086.246399995</v>
      </c>
      <c r="G152" s="82">
        <f t="shared" si="26"/>
        <v>24841789.378559999</v>
      </c>
      <c r="H152" s="82">
        <f t="shared" si="26"/>
        <v>28982087.608320002</v>
      </c>
      <c r="I152" s="82">
        <f t="shared" si="26"/>
        <v>33474311.187609602</v>
      </c>
      <c r="J152" s="82">
        <f t="shared" si="26"/>
        <v>38343301.905807376</v>
      </c>
    </row>
    <row r="153" spans="1:11" x14ac:dyDescent="0.25">
      <c r="A153" s="47" t="s">
        <v>303</v>
      </c>
      <c r="B153" s="85" t="s">
        <v>343</v>
      </c>
      <c r="C153" s="97">
        <f>'12.Facility 1 - Trading'!C234</f>
        <v>5800</v>
      </c>
      <c r="D153" s="82">
        <f t="shared" ref="D153:J153" si="27">(B38)*$C$153*D133</f>
        <v>15434496.000000002</v>
      </c>
      <c r="E153" s="82">
        <f t="shared" si="27"/>
        <v>18907257.600000001</v>
      </c>
      <c r="F153" s="82">
        <f t="shared" si="27"/>
        <v>22688709.120000001</v>
      </c>
      <c r="G153" s="82">
        <f t="shared" si="27"/>
        <v>26801037.648000002</v>
      </c>
      <c r="H153" s="82">
        <f t="shared" si="27"/>
        <v>31267877.256000005</v>
      </c>
      <c r="I153" s="82">
        <f t="shared" si="27"/>
        <v>36114398.230680011</v>
      </c>
      <c r="J153" s="82">
        <f t="shared" si="27"/>
        <v>41367401.609688021</v>
      </c>
    </row>
    <row r="154" spans="1:11" ht="14.45" hidden="1" x14ac:dyDescent="0.35">
      <c r="A154" s="47" t="s">
        <v>304</v>
      </c>
      <c r="B154" s="85" t="s">
        <v>343</v>
      </c>
      <c r="C154" s="97">
        <v>5800</v>
      </c>
      <c r="D154" s="82">
        <f t="shared" ref="D154:J154" si="28">(B42)*$C$154*D133</f>
        <v>0</v>
      </c>
      <c r="E154" s="82">
        <f t="shared" si="28"/>
        <v>0</v>
      </c>
      <c r="F154" s="82">
        <f t="shared" si="28"/>
        <v>0</v>
      </c>
      <c r="G154" s="82">
        <f t="shared" si="28"/>
        <v>0</v>
      </c>
      <c r="H154" s="82">
        <f t="shared" si="28"/>
        <v>0</v>
      </c>
      <c r="I154" s="82">
        <f t="shared" si="28"/>
        <v>0</v>
      </c>
      <c r="J154" s="82">
        <f t="shared" si="28"/>
        <v>0</v>
      </c>
    </row>
    <row r="155" spans="1:11" ht="14.45" hidden="1" x14ac:dyDescent="0.35">
      <c r="A155" s="47" t="s">
        <v>300</v>
      </c>
      <c r="B155" s="85" t="s">
        <v>343</v>
      </c>
      <c r="C155" s="97">
        <v>6200</v>
      </c>
      <c r="D155" s="82">
        <f t="shared" ref="D155:J155" si="29">(B40)*$C$155*D133</f>
        <v>0</v>
      </c>
      <c r="E155" s="82">
        <f t="shared" si="29"/>
        <v>0</v>
      </c>
      <c r="F155" s="82">
        <f t="shared" si="29"/>
        <v>0</v>
      </c>
      <c r="G155" s="82">
        <f t="shared" si="29"/>
        <v>0</v>
      </c>
      <c r="H155" s="82">
        <f t="shared" si="29"/>
        <v>0</v>
      </c>
      <c r="I155" s="82">
        <f t="shared" si="29"/>
        <v>0</v>
      </c>
      <c r="J155" s="82">
        <f t="shared" si="29"/>
        <v>0</v>
      </c>
    </row>
    <row r="156" spans="1:11" x14ac:dyDescent="0.25">
      <c r="A156" s="47" t="s">
        <v>731</v>
      </c>
      <c r="B156" s="85" t="s">
        <v>343</v>
      </c>
      <c r="C156" s="97">
        <v>80</v>
      </c>
      <c r="D156" s="82">
        <f>$C$156*(B32)</f>
        <v>564157.43999999994</v>
      </c>
      <c r="E156" s="82">
        <f t="shared" ref="E156:J156" si="30">$C$156*(C32)</f>
        <v>658183.67999999993</v>
      </c>
      <c r="F156" s="82">
        <f t="shared" si="30"/>
        <v>752209.91999999993</v>
      </c>
      <c r="G156" s="82">
        <f t="shared" si="30"/>
        <v>846236.1599999998</v>
      </c>
      <c r="H156" s="82">
        <f t="shared" si="30"/>
        <v>940262.39999999991</v>
      </c>
      <c r="I156" s="82">
        <f t="shared" si="30"/>
        <v>1034288.6399999999</v>
      </c>
      <c r="J156" s="82">
        <f t="shared" si="30"/>
        <v>1128314.8799999999</v>
      </c>
    </row>
    <row r="157" spans="1:11" x14ac:dyDescent="0.25">
      <c r="A157" s="47" t="s">
        <v>344</v>
      </c>
      <c r="B157" s="85">
        <v>2</v>
      </c>
      <c r="C157" s="85">
        <v>150</v>
      </c>
      <c r="D157" s="82">
        <f t="shared" ref="D157:J157" si="31">(B32/10)*$B$157*$C$157*D133</f>
        <v>211559.03999999998</v>
      </c>
      <c r="E157" s="82">
        <f t="shared" si="31"/>
        <v>259159.82399999999</v>
      </c>
      <c r="F157" s="82">
        <f t="shared" si="31"/>
        <v>310991.78879999998</v>
      </c>
      <c r="G157" s="82">
        <f t="shared" si="31"/>
        <v>367359.05051999999</v>
      </c>
      <c r="H157" s="82">
        <f t="shared" si="31"/>
        <v>428585.55894000002</v>
      </c>
      <c r="I157" s="82">
        <f t="shared" si="31"/>
        <v>495016.32057570014</v>
      </c>
      <c r="J157" s="82">
        <f t="shared" si="31"/>
        <v>567018.69447762007</v>
      </c>
    </row>
    <row r="158" spans="1:11" x14ac:dyDescent="0.25">
      <c r="A158" s="47" t="s">
        <v>305</v>
      </c>
      <c r="B158" s="85">
        <v>5</v>
      </c>
      <c r="C158" s="85">
        <v>300</v>
      </c>
      <c r="D158" s="82">
        <f t="shared" ref="D158:J158" si="32">B12*$B$158*$C$158*D133</f>
        <v>264448.8</v>
      </c>
      <c r="E158" s="82">
        <f t="shared" si="32"/>
        <v>323949.77999999991</v>
      </c>
      <c r="F158" s="82">
        <f t="shared" si="32"/>
        <v>388739.73599999998</v>
      </c>
      <c r="G158" s="82">
        <f t="shared" si="32"/>
        <v>459198.81314999994</v>
      </c>
      <c r="H158" s="82">
        <f t="shared" si="32"/>
        <v>535731.94867499999</v>
      </c>
      <c r="I158" s="82">
        <f t="shared" si="32"/>
        <v>618770.40071962518</v>
      </c>
      <c r="J158" s="82">
        <f t="shared" si="32"/>
        <v>708773.3680970252</v>
      </c>
    </row>
    <row r="159" spans="1:11" x14ac:dyDescent="0.25">
      <c r="A159" s="47" t="s">
        <v>143</v>
      </c>
      <c r="B159" s="124">
        <f>'2.Capex Details'!H37*0.746*8</f>
        <v>23.872</v>
      </c>
      <c r="C159" s="85">
        <v>8</v>
      </c>
      <c r="D159" s="82">
        <f t="shared" ref="D159:J159" si="33">$B$159*$C$159*B12*D133</f>
        <v>33668.916019199998</v>
      </c>
      <c r="E159" s="82">
        <f t="shared" si="33"/>
        <v>41244.422123520002</v>
      </c>
      <c r="F159" s="82">
        <f t="shared" si="33"/>
        <v>49493.306548223998</v>
      </c>
      <c r="G159" s="82">
        <f t="shared" si="33"/>
        <v>58463.968360089595</v>
      </c>
      <c r="H159" s="82">
        <f t="shared" si="33"/>
        <v>68207.963086771211</v>
      </c>
      <c r="I159" s="82">
        <f t="shared" si="33"/>
        <v>78780.197365220753</v>
      </c>
      <c r="J159" s="82">
        <f t="shared" si="33"/>
        <v>90239.135163798317</v>
      </c>
    </row>
    <row r="160" spans="1:11" x14ac:dyDescent="0.25">
      <c r="A160" s="47" t="s">
        <v>279</v>
      </c>
      <c r="B160" s="47"/>
      <c r="C160" s="85">
        <v>100</v>
      </c>
      <c r="D160" s="82">
        <f>((B32*100)/50)*$C$160*D133</f>
        <v>1410393.5999999999</v>
      </c>
      <c r="E160" s="82">
        <f t="shared" ref="E160:J160" si="34">((C35*100)/50)*$C$160*E133</f>
        <v>345546.43199999997</v>
      </c>
      <c r="F160" s="82">
        <f t="shared" si="34"/>
        <v>414655.71840000001</v>
      </c>
      <c r="G160" s="82">
        <f t="shared" si="34"/>
        <v>489812.06735999993</v>
      </c>
      <c r="H160" s="82">
        <f t="shared" si="34"/>
        <v>571447.4119200001</v>
      </c>
      <c r="I160" s="82">
        <f t="shared" si="34"/>
        <v>660021.76076760015</v>
      </c>
      <c r="J160" s="82">
        <f t="shared" si="34"/>
        <v>756024.92597016029</v>
      </c>
    </row>
    <row r="161" spans="1:10" x14ac:dyDescent="0.25">
      <c r="A161" s="80" t="s">
        <v>280</v>
      </c>
      <c r="B161" s="80"/>
      <c r="C161" s="87">
        <v>30</v>
      </c>
      <c r="D161" s="82">
        <f t="shared" ref="D161:J161" si="35">(((B78+B69+B95+B63)*100)/50)*$C$161*D133</f>
        <v>304645.01760000002</v>
      </c>
      <c r="E161" s="82">
        <f t="shared" si="35"/>
        <v>373190.14656000002</v>
      </c>
      <c r="F161" s="82">
        <f t="shared" si="35"/>
        <v>447828.17587199993</v>
      </c>
      <c r="G161" s="82">
        <f t="shared" si="35"/>
        <v>528997.0327488</v>
      </c>
      <c r="H161" s="82">
        <f t="shared" si="35"/>
        <v>617163.20487359993</v>
      </c>
      <c r="I161" s="82">
        <f t="shared" si="35"/>
        <v>712823.50162900821</v>
      </c>
      <c r="J161" s="82">
        <f t="shared" si="35"/>
        <v>816506.92004777316</v>
      </c>
    </row>
    <row r="162" spans="1:10" x14ac:dyDescent="0.25">
      <c r="A162" s="47" t="s">
        <v>281</v>
      </c>
      <c r="B162" s="47"/>
      <c r="C162" s="85">
        <v>120</v>
      </c>
      <c r="D162" s="82">
        <f t="shared" ref="D162:J162" si="36">(((B78+B69+B95+B63)*100)/50)*$C$162*D133</f>
        <v>1218580.0704000001</v>
      </c>
      <c r="E162" s="82">
        <f t="shared" si="36"/>
        <v>1492760.5862400001</v>
      </c>
      <c r="F162" s="82">
        <f t="shared" si="36"/>
        <v>1791312.7034879997</v>
      </c>
      <c r="G162" s="82">
        <f t="shared" si="36"/>
        <v>2115988.1309952</v>
      </c>
      <c r="H162" s="82">
        <f t="shared" si="36"/>
        <v>2468652.8194943997</v>
      </c>
      <c r="I162" s="82">
        <f t="shared" si="36"/>
        <v>2851294.0065160329</v>
      </c>
      <c r="J162" s="82">
        <f t="shared" si="36"/>
        <v>3266027.6801910927</v>
      </c>
    </row>
    <row r="163" spans="1:10" ht="14.45" hidden="1" x14ac:dyDescent="0.35">
      <c r="A163" s="47"/>
      <c r="B163" s="47"/>
      <c r="C163" s="47"/>
      <c r="D163" s="47"/>
      <c r="E163" s="47"/>
      <c r="F163" s="47"/>
      <c r="G163" s="47"/>
      <c r="H163" s="47"/>
      <c r="I163" s="47"/>
      <c r="J163" s="47"/>
    </row>
    <row r="164" spans="1:10" ht="14.45" hidden="1" x14ac:dyDescent="0.35">
      <c r="A164" s="47"/>
      <c r="B164" s="47"/>
      <c r="C164" s="47"/>
      <c r="D164" s="47"/>
      <c r="E164" s="47"/>
      <c r="F164" s="47"/>
      <c r="G164" s="47"/>
      <c r="H164" s="47"/>
      <c r="I164" s="47"/>
      <c r="J164" s="47"/>
    </row>
    <row r="165" spans="1:10" ht="14.45" hidden="1" x14ac:dyDescent="0.35">
      <c r="A165" s="47"/>
      <c r="B165" s="47"/>
      <c r="C165" s="47"/>
      <c r="D165" s="47"/>
      <c r="E165" s="47"/>
      <c r="F165" s="47"/>
      <c r="G165" s="47"/>
      <c r="H165" s="47"/>
      <c r="I165" s="47"/>
      <c r="J165" s="47"/>
    </row>
    <row r="166" spans="1:10" x14ac:dyDescent="0.25">
      <c r="A166" s="47"/>
      <c r="B166" s="47"/>
      <c r="C166" s="47"/>
      <c r="D166" s="47"/>
      <c r="E166" s="47"/>
      <c r="F166" s="47"/>
      <c r="G166" s="47"/>
      <c r="H166" s="47"/>
      <c r="I166" s="47"/>
      <c r="J166" s="47"/>
    </row>
    <row r="167" spans="1:10" x14ac:dyDescent="0.25">
      <c r="A167" s="121" t="s">
        <v>325</v>
      </c>
      <c r="B167" s="82"/>
      <c r="C167" s="82"/>
      <c r="D167" s="82"/>
      <c r="E167" s="82">
        <f>'5.Closing Stock &amp; W Capital'!F8</f>
        <v>325295.49933619209</v>
      </c>
      <c r="F167" s="82">
        <f>'5.Closing Stock &amp; W Capital'!G8</f>
        <v>384336.03756683524</v>
      </c>
      <c r="G167" s="82">
        <f>'5.Closing Stock &amp; W Capital'!H8</f>
        <v>460827.14012020221</v>
      </c>
      <c r="H167" s="82">
        <f>'5.Closing Stock &amp; W Capital'!I8</f>
        <v>543928.94118698896</v>
      </c>
      <c r="I167" s="82">
        <f>'5.Closing Stock &amp; W Capital'!J8</f>
        <v>634113.6335181538</v>
      </c>
      <c r="J167" s="82">
        <f>'5.Closing Stock &amp; W Capital'!K8</f>
        <v>731884.10239346779</v>
      </c>
    </row>
    <row r="168" spans="1:10" x14ac:dyDescent="0.25">
      <c r="A168" s="121" t="s">
        <v>326</v>
      </c>
      <c r="B168" s="82"/>
      <c r="C168" s="82"/>
      <c r="D168" s="82">
        <f>'5.Closing Stock &amp; W Capital'!E17</f>
        <v>325295.49933619209</v>
      </c>
      <c r="E168" s="82">
        <f>'5.Closing Stock &amp; W Capital'!F17</f>
        <v>384336.03756683524</v>
      </c>
      <c r="F168" s="82">
        <f>'5.Closing Stock &amp; W Capital'!G17</f>
        <v>460827.14012020221</v>
      </c>
      <c r="G168" s="82">
        <f>'5.Closing Stock &amp; W Capital'!H17</f>
        <v>543928.94118698896</v>
      </c>
      <c r="H168" s="82">
        <f>'5.Closing Stock &amp; W Capital'!I17</f>
        <v>634113.6335181538</v>
      </c>
      <c r="I168" s="82">
        <f>'5.Closing Stock &amp; W Capital'!J17</f>
        <v>731884.10239346779</v>
      </c>
      <c r="J168" s="82">
        <f>'5.Closing Stock &amp; W Capital'!K17</f>
        <v>837775.81439251767</v>
      </c>
    </row>
    <row r="169" spans="1:10" x14ac:dyDescent="0.25">
      <c r="A169" s="82"/>
      <c r="B169" s="82"/>
      <c r="C169" s="82"/>
      <c r="D169" s="82"/>
      <c r="E169" s="82"/>
      <c r="F169" s="82"/>
      <c r="G169" s="82"/>
      <c r="H169" s="82"/>
      <c r="I169" s="82"/>
      <c r="J169" s="82"/>
    </row>
    <row r="170" spans="1:10" x14ac:dyDescent="0.25">
      <c r="A170" s="84" t="s">
        <v>306</v>
      </c>
      <c r="B170" s="82"/>
      <c r="C170" s="82"/>
      <c r="D170" s="84">
        <f>SUM(D152:D167)-D168</f>
        <v>33422834.504683018</v>
      </c>
      <c r="E170" s="84">
        <f>SUM(E152:E167)-E168</f>
        <v>39867323.804692879</v>
      </c>
      <c r="F170" s="84">
        <f t="shared" ref="F170:J170" si="37">SUM(F152:F167)-F168</f>
        <v>47797535.612954855</v>
      </c>
      <c r="G170" s="84">
        <f t="shared" si="37"/>
        <v>56425780.448627308</v>
      </c>
      <c r="H170" s="84">
        <f t="shared" si="37"/>
        <v>65789831.478978612</v>
      </c>
      <c r="I170" s="84">
        <f t="shared" si="37"/>
        <v>75941933.776987508</v>
      </c>
      <c r="J170" s="84">
        <f t="shared" si="37"/>
        <v>86937717.407443807</v>
      </c>
    </row>
    <row r="172" spans="1:10" x14ac:dyDescent="0.25">
      <c r="A172" s="79" t="s">
        <v>293</v>
      </c>
      <c r="B172" s="79"/>
      <c r="C172" s="79"/>
      <c r="D172" s="84"/>
      <c r="E172" s="84"/>
      <c r="F172" s="84"/>
      <c r="G172" s="84"/>
      <c r="H172" s="84"/>
      <c r="I172" s="84"/>
      <c r="J172" s="84"/>
    </row>
    <row r="173" spans="1:10" x14ac:dyDescent="0.25">
      <c r="A173" s="47" t="s">
        <v>176</v>
      </c>
      <c r="B173" s="85">
        <v>1</v>
      </c>
      <c r="C173" s="97">
        <v>15000</v>
      </c>
      <c r="D173" s="82">
        <f t="shared" ref="D173:J173" si="38">$B$173*$C$173*12*D133</f>
        <v>180000</v>
      </c>
      <c r="E173" s="82">
        <f t="shared" si="38"/>
        <v>189000</v>
      </c>
      <c r="F173" s="82">
        <f t="shared" si="38"/>
        <v>198450</v>
      </c>
      <c r="G173" s="82">
        <f t="shared" si="38"/>
        <v>208372.50000000003</v>
      </c>
      <c r="H173" s="82">
        <f t="shared" si="38"/>
        <v>218791.12500000003</v>
      </c>
      <c r="I173" s="82">
        <f t="shared" si="38"/>
        <v>229730.68125000005</v>
      </c>
      <c r="J173" s="82">
        <f t="shared" si="38"/>
        <v>241217.21531250008</v>
      </c>
    </row>
    <row r="174" spans="1:10" x14ac:dyDescent="0.25">
      <c r="A174" s="47"/>
      <c r="B174" s="85"/>
      <c r="C174" s="97"/>
      <c r="D174" s="82"/>
      <c r="E174" s="82"/>
      <c r="F174" s="82"/>
      <c r="G174" s="82"/>
      <c r="H174" s="82"/>
      <c r="I174" s="82"/>
      <c r="J174" s="82"/>
    </row>
    <row r="175" spans="1:10" ht="14.45" hidden="1" x14ac:dyDescent="0.35">
      <c r="A175" s="47"/>
      <c r="B175" s="85"/>
      <c r="C175" s="97"/>
      <c r="D175" s="82"/>
      <c r="E175" s="82"/>
      <c r="F175" s="82"/>
      <c r="G175" s="82"/>
      <c r="H175" s="82"/>
      <c r="I175" s="82"/>
      <c r="J175" s="82"/>
    </row>
    <row r="176" spans="1:10" ht="14.45" hidden="1" x14ac:dyDescent="0.35">
      <c r="A176" s="47"/>
      <c r="B176" s="85"/>
      <c r="C176" s="97"/>
      <c r="D176" s="82"/>
      <c r="E176" s="82"/>
      <c r="F176" s="82"/>
      <c r="G176" s="82"/>
      <c r="H176" s="82"/>
      <c r="I176" s="82"/>
      <c r="J176" s="82"/>
    </row>
    <row r="177" spans="1:10" ht="14.45" hidden="1" x14ac:dyDescent="0.35">
      <c r="A177" s="47"/>
      <c r="B177" s="85"/>
      <c r="C177" s="97"/>
      <c r="D177" s="82"/>
      <c r="E177" s="82"/>
      <c r="F177" s="82"/>
      <c r="G177" s="82"/>
      <c r="H177" s="82"/>
      <c r="I177" s="82"/>
      <c r="J177" s="82"/>
    </row>
    <row r="178" spans="1:10" x14ac:dyDescent="0.25">
      <c r="A178" s="78" t="s">
        <v>293</v>
      </c>
      <c r="B178" s="78"/>
      <c r="C178" s="78"/>
      <c r="D178" s="84">
        <f t="shared" ref="D178:J178" si="39">SUM(D173:D177)</f>
        <v>180000</v>
      </c>
      <c r="E178" s="84">
        <f t="shared" si="39"/>
        <v>189000</v>
      </c>
      <c r="F178" s="84">
        <f t="shared" si="39"/>
        <v>198450</v>
      </c>
      <c r="G178" s="84">
        <f t="shared" si="39"/>
        <v>208372.50000000003</v>
      </c>
      <c r="H178" s="84">
        <f t="shared" si="39"/>
        <v>218791.12500000003</v>
      </c>
      <c r="I178" s="84">
        <f t="shared" si="39"/>
        <v>229730.68125000005</v>
      </c>
      <c r="J178" s="84">
        <f t="shared" si="39"/>
        <v>241217.21531250008</v>
      </c>
    </row>
    <row r="179" spans="1:10" x14ac:dyDescent="0.25">
      <c r="A179" s="79" t="s">
        <v>282</v>
      </c>
      <c r="B179" s="79"/>
      <c r="C179" s="79"/>
      <c r="D179" s="84">
        <f t="shared" ref="D179:J179" si="40">D170+D178</f>
        <v>33602834.504683018</v>
      </c>
      <c r="E179" s="84">
        <f t="shared" si="40"/>
        <v>40056323.804692879</v>
      </c>
      <c r="F179" s="84">
        <f t="shared" si="40"/>
        <v>47995985.612954855</v>
      </c>
      <c r="G179" s="84">
        <f t="shared" si="40"/>
        <v>56634152.948627308</v>
      </c>
      <c r="H179" s="84">
        <f t="shared" si="40"/>
        <v>66008622.603978612</v>
      </c>
      <c r="I179" s="84">
        <f t="shared" si="40"/>
        <v>76171664.458237514</v>
      </c>
      <c r="J179" s="84">
        <f t="shared" si="40"/>
        <v>87178934.622756302</v>
      </c>
    </row>
    <row r="180" spans="1:10" x14ac:dyDescent="0.25">
      <c r="A180" s="47"/>
      <c r="B180" s="47"/>
      <c r="C180" s="47"/>
      <c r="D180" s="82"/>
      <c r="E180" s="82"/>
      <c r="F180" s="82"/>
      <c r="G180" s="82"/>
      <c r="H180" s="82"/>
      <c r="I180" s="82"/>
      <c r="J180" s="82"/>
    </row>
    <row r="181" spans="1:10" x14ac:dyDescent="0.25">
      <c r="A181" s="78" t="s">
        <v>7</v>
      </c>
      <c r="B181" s="78"/>
      <c r="C181" s="78"/>
      <c r="D181" s="84">
        <f t="shared" ref="D181:J181" si="41">D148-D179</f>
        <v>3519044.381716989</v>
      </c>
      <c r="E181" s="84">
        <f t="shared" si="41"/>
        <v>5742884.6164271161</v>
      </c>
      <c r="F181" s="84">
        <f t="shared" si="41"/>
        <v>6971187.1620211378</v>
      </c>
      <c r="G181" s="84">
        <f t="shared" si="41"/>
        <v>8303282.5945374966</v>
      </c>
      <c r="H181" s="84">
        <f t="shared" si="41"/>
        <v>9758684.0522564277</v>
      </c>
      <c r="I181" s="84">
        <f t="shared" si="41"/>
        <v>11346156.833516911</v>
      </c>
      <c r="J181" s="84">
        <f t="shared" si="41"/>
        <v>13075034.501428828</v>
      </c>
    </row>
    <row r="182" spans="1:10" x14ac:dyDescent="0.25">
      <c r="A182" s="110"/>
      <c r="B182" s="110"/>
      <c r="C182" s="110"/>
    </row>
    <row r="183" spans="1:10" x14ac:dyDescent="0.25">
      <c r="D183" s="100">
        <f>D181/D148</f>
        <v>9.4797043880400902E-2</v>
      </c>
      <c r="E183" s="100">
        <f t="shared" ref="E183:J183" si="42">E181/E148</f>
        <v>0.12539266101766999</v>
      </c>
      <c r="F183" s="100">
        <f t="shared" si="42"/>
        <v>0.12682455382160016</v>
      </c>
      <c r="G183" s="100">
        <f t="shared" si="42"/>
        <v>0.12786588390941603</v>
      </c>
      <c r="H183" s="100">
        <f t="shared" si="42"/>
        <v>0.1287980856510143</v>
      </c>
      <c r="I183" s="100">
        <f t="shared" si="42"/>
        <v>0.1296439589794256</v>
      </c>
      <c r="J183" s="100">
        <f t="shared" si="42"/>
        <v>0.13041912071563683</v>
      </c>
    </row>
    <row r="185" spans="1:10" x14ac:dyDescent="0.25">
      <c r="A185" s="427" t="s">
        <v>398</v>
      </c>
      <c r="B185" s="427"/>
      <c r="C185" s="427"/>
      <c r="D185" s="427"/>
      <c r="E185" s="427"/>
      <c r="F185" s="427"/>
      <c r="G185" s="427"/>
      <c r="H185" s="427"/>
      <c r="I185" s="427"/>
      <c r="J185" s="427"/>
    </row>
    <row r="187" spans="1:10" x14ac:dyDescent="0.25">
      <c r="A187" s="39" t="s">
        <v>491</v>
      </c>
    </row>
    <row r="188" spans="1:10" x14ac:dyDescent="0.25">
      <c r="A188" s="39">
        <v>1</v>
      </c>
      <c r="B188" s="39" t="s">
        <v>504</v>
      </c>
    </row>
    <row r="189" spans="1:10" x14ac:dyDescent="0.25">
      <c r="A189" s="39">
        <v>2</v>
      </c>
      <c r="B189" s="39" t="s">
        <v>505</v>
      </c>
    </row>
    <row r="190" spans="1:10" x14ac:dyDescent="0.25">
      <c r="A190" s="39">
        <v>3</v>
      </c>
      <c r="B190" s="39" t="s">
        <v>554</v>
      </c>
    </row>
  </sheetData>
  <mergeCells count="4">
    <mergeCell ref="A131:J131"/>
    <mergeCell ref="A3:H3"/>
    <mergeCell ref="A185:J185"/>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18"/>
  <sheetViews>
    <sheetView workbookViewId="0">
      <selection activeCell="H12" activeCellId="1" sqref="B12 H12"/>
    </sheetView>
  </sheetViews>
  <sheetFormatPr defaultColWidth="8.7109375" defaultRowHeight="15" x14ac:dyDescent="0.25"/>
  <cols>
    <col min="1" max="1" width="41.7109375" style="39" bestFit="1" customWidth="1"/>
    <col min="2" max="2" width="11.5703125" style="39" bestFit="1" customWidth="1"/>
    <col min="3" max="3" width="12.5703125" style="39" bestFit="1" customWidth="1"/>
    <col min="4" max="4" width="15.140625" style="39" customWidth="1"/>
    <col min="5" max="8" width="17.28515625" style="39" customWidth="1"/>
    <col min="9" max="10" width="16.85546875" style="39" bestFit="1" customWidth="1"/>
    <col min="11" max="16384" width="8.7109375" style="39"/>
  </cols>
  <sheetData>
    <row r="3" spans="1:8" ht="14.45" x14ac:dyDescent="0.35">
      <c r="A3" s="427" t="str">
        <f>'6.Cons Profit &amp; Loss'!A13</f>
        <v>Facility 6 - Cattle Feed</v>
      </c>
      <c r="B3" s="427"/>
      <c r="C3" s="427"/>
      <c r="D3" s="427"/>
      <c r="E3" s="427"/>
      <c r="F3" s="427"/>
      <c r="G3" s="427"/>
      <c r="H3" s="427"/>
    </row>
    <row r="4" spans="1:8" ht="14.45" x14ac:dyDescent="0.35">
      <c r="A4" s="427" t="s">
        <v>550</v>
      </c>
      <c r="B4" s="427"/>
      <c r="C4" s="427"/>
      <c r="D4" s="427"/>
      <c r="E4" s="427"/>
      <c r="F4" s="427"/>
      <c r="G4" s="427"/>
      <c r="H4" s="427"/>
    </row>
    <row r="5" spans="1:8" ht="14.45" x14ac:dyDescent="0.35">
      <c r="A5" s="39" t="s">
        <v>159</v>
      </c>
      <c r="B5" s="101">
        <v>1</v>
      </c>
      <c r="C5" s="39" t="s">
        <v>444</v>
      </c>
    </row>
    <row r="6" spans="1:8" ht="14.45" x14ac:dyDescent="0.35">
      <c r="A6" s="39" t="s">
        <v>160</v>
      </c>
      <c r="B6" s="102">
        <v>8</v>
      </c>
    </row>
    <row r="7" spans="1:8" ht="14.45" x14ac:dyDescent="0.35">
      <c r="B7" s="102"/>
    </row>
    <row r="8" spans="1:8" ht="14.45" x14ac:dyDescent="0.35">
      <c r="B8" s="102"/>
    </row>
    <row r="11" spans="1:8" ht="14.45" x14ac:dyDescent="0.35">
      <c r="A11" s="66" t="s">
        <v>0</v>
      </c>
      <c r="B11" s="113" t="s">
        <v>2</v>
      </c>
      <c r="C11" s="113" t="s">
        <v>3</v>
      </c>
      <c r="D11" s="113" t="s">
        <v>4</v>
      </c>
      <c r="E11" s="113" t="s">
        <v>5</v>
      </c>
      <c r="F11" s="113" t="s">
        <v>6</v>
      </c>
      <c r="G11" s="113" t="s">
        <v>166</v>
      </c>
      <c r="H11" s="113" t="s">
        <v>165</v>
      </c>
    </row>
    <row r="12" spans="1:8" ht="14.45" x14ac:dyDescent="0.35">
      <c r="A12" s="47" t="s">
        <v>167</v>
      </c>
      <c r="B12" s="82">
        <f t="shared" ref="B12:H12" si="0">B28/($B$5*$B$6)</f>
        <v>159.823125</v>
      </c>
      <c r="C12" s="82">
        <f t="shared" si="0"/>
        <v>191.78774999999999</v>
      </c>
      <c r="D12" s="82">
        <f t="shared" si="0"/>
        <v>223.75237499999997</v>
      </c>
      <c r="E12" s="82">
        <f t="shared" si="0"/>
        <v>255.71699999999998</v>
      </c>
      <c r="F12" s="82">
        <f t="shared" si="0"/>
        <v>287.68162499999994</v>
      </c>
      <c r="G12" s="82">
        <f t="shared" si="0"/>
        <v>319.6462499999999</v>
      </c>
      <c r="H12" s="82">
        <f t="shared" si="0"/>
        <v>351.61087499999991</v>
      </c>
    </row>
    <row r="13" spans="1:8" ht="14.45" x14ac:dyDescent="0.35">
      <c r="A13" s="47" t="str">
        <f>'10.Grain Production details'!A67</f>
        <v>Maize</v>
      </c>
      <c r="B13" s="82">
        <f>'12.Facility 1 - Trading'!B11*0.15</f>
        <v>779.625</v>
      </c>
      <c r="C13" s="82">
        <f>'12.Facility 1 - Trading'!C11*0.15</f>
        <v>935.55</v>
      </c>
      <c r="D13" s="82">
        <f>'12.Facility 1 - Trading'!D11*0.15</f>
        <v>1091.4749999999999</v>
      </c>
      <c r="E13" s="82">
        <f>'12.Facility 1 - Trading'!E11*0.15</f>
        <v>1247.3999999999999</v>
      </c>
      <c r="F13" s="82">
        <f>'12.Facility 1 - Trading'!F11*0.15</f>
        <v>1403.3249999999996</v>
      </c>
      <c r="G13" s="82">
        <f>'12.Facility 1 - Trading'!G11*0.15</f>
        <v>1559.2499999999993</v>
      </c>
      <c r="H13" s="82">
        <f>'12.Facility 1 - Trading'!H11*0.15</f>
        <v>1715.1749999999995</v>
      </c>
    </row>
    <row r="14" spans="1:8" ht="14.45" x14ac:dyDescent="0.35">
      <c r="A14" s="47" t="str">
        <f>'10.Grain Production details'!A79</f>
        <v>Maize</v>
      </c>
      <c r="B14" s="82">
        <f>'12.Facility 1 - Trading'!B23*0.15</f>
        <v>498.96</v>
      </c>
      <c r="C14" s="82">
        <f>'12.Facility 1 - Trading'!C23*0.15</f>
        <v>598.75199999999995</v>
      </c>
      <c r="D14" s="82">
        <f>'12.Facility 1 - Trading'!D23*0.15</f>
        <v>698.54399999999998</v>
      </c>
      <c r="E14" s="82">
        <f>'12.Facility 1 - Trading'!E23*0.15</f>
        <v>798.3359999999999</v>
      </c>
      <c r="F14" s="82">
        <f>'12.Facility 1 - Trading'!F23*0.15</f>
        <v>898.12799999999993</v>
      </c>
      <c r="G14" s="82">
        <f>'12.Facility 1 - Trading'!G23*0.15</f>
        <v>997.91999999999985</v>
      </c>
      <c r="H14" s="82">
        <f>'12.Facility 1 - Trading'!H23*0.15</f>
        <v>1097.7119999999998</v>
      </c>
    </row>
    <row r="15" spans="1:8" ht="14.45" hidden="1" x14ac:dyDescent="0.35">
      <c r="A15" s="47">
        <f>'10.Grain Production details'!A80</f>
        <v>0</v>
      </c>
      <c r="B15" s="82"/>
      <c r="C15" s="82"/>
      <c r="D15" s="82"/>
      <c r="E15" s="82"/>
      <c r="F15" s="82"/>
      <c r="G15" s="82"/>
      <c r="H15" s="82"/>
    </row>
    <row r="16" spans="1:8" ht="14.45" hidden="1" x14ac:dyDescent="0.35">
      <c r="A16" s="47">
        <f>'10.Grain Production details'!A81</f>
        <v>0</v>
      </c>
      <c r="B16" s="82"/>
      <c r="C16" s="82"/>
      <c r="D16" s="82"/>
      <c r="E16" s="82"/>
      <c r="F16" s="82"/>
      <c r="G16" s="82"/>
      <c r="H16" s="82"/>
    </row>
    <row r="17" spans="1:8" ht="14.45" hidden="1" x14ac:dyDescent="0.35">
      <c r="A17" s="47">
        <f>'10.Grain Production details'!A82</f>
        <v>0</v>
      </c>
      <c r="B17" s="82"/>
      <c r="C17" s="82"/>
      <c r="D17" s="82"/>
      <c r="E17" s="82"/>
      <c r="F17" s="82"/>
      <c r="G17" s="82"/>
      <c r="H17" s="82"/>
    </row>
    <row r="18" spans="1:8" ht="14.45" hidden="1" x14ac:dyDescent="0.35">
      <c r="A18" s="47">
        <f>'10.Grain Production details'!A83</f>
        <v>0</v>
      </c>
      <c r="B18" s="82"/>
      <c r="C18" s="82"/>
      <c r="D18" s="82"/>
      <c r="E18" s="82"/>
      <c r="F18" s="82"/>
      <c r="G18" s="82"/>
      <c r="H18" s="82"/>
    </row>
    <row r="19" spans="1:8" ht="14.45" hidden="1" x14ac:dyDescent="0.35">
      <c r="A19" s="47">
        <f>'10.Grain Production details'!A84</f>
        <v>0</v>
      </c>
      <c r="B19" s="82"/>
      <c r="C19" s="82"/>
      <c r="D19" s="82"/>
      <c r="E19" s="82"/>
      <c r="F19" s="82"/>
      <c r="G19" s="82"/>
      <c r="H19" s="82"/>
    </row>
    <row r="20" spans="1:8" ht="14.45" hidden="1" x14ac:dyDescent="0.35">
      <c r="A20" s="47"/>
      <c r="B20" s="82"/>
      <c r="C20" s="82"/>
      <c r="D20" s="82"/>
      <c r="E20" s="82"/>
      <c r="F20" s="82"/>
      <c r="G20" s="82"/>
      <c r="H20" s="82"/>
    </row>
    <row r="21" spans="1:8" ht="14.45" hidden="1" x14ac:dyDescent="0.35">
      <c r="A21" s="47"/>
      <c r="B21" s="82"/>
      <c r="C21" s="82"/>
      <c r="D21" s="82"/>
      <c r="E21" s="82"/>
      <c r="F21" s="82"/>
      <c r="G21" s="82"/>
      <c r="H21" s="82"/>
    </row>
    <row r="22" spans="1:8" ht="14.45" hidden="1" x14ac:dyDescent="0.35">
      <c r="A22" s="47"/>
      <c r="B22" s="82"/>
      <c r="C22" s="82"/>
      <c r="D22" s="82"/>
      <c r="E22" s="82"/>
      <c r="F22" s="82"/>
      <c r="G22" s="82"/>
      <c r="H22" s="82"/>
    </row>
    <row r="23" spans="1:8" ht="14.45" hidden="1" x14ac:dyDescent="0.35">
      <c r="A23" s="47"/>
      <c r="B23" s="82"/>
      <c r="C23" s="82"/>
      <c r="D23" s="82"/>
      <c r="E23" s="82"/>
      <c r="F23" s="82"/>
      <c r="G23" s="82"/>
      <c r="H23" s="82"/>
    </row>
    <row r="24" spans="1:8" ht="14.45" hidden="1" x14ac:dyDescent="0.35">
      <c r="A24" s="47"/>
      <c r="B24" s="82"/>
      <c r="C24" s="82"/>
      <c r="D24" s="82"/>
      <c r="E24" s="82"/>
      <c r="F24" s="82"/>
      <c r="G24" s="82"/>
      <c r="H24" s="82"/>
    </row>
    <row r="25" spans="1:8" ht="14.45" hidden="1" x14ac:dyDescent="0.35">
      <c r="A25" s="47"/>
      <c r="B25" s="82"/>
      <c r="C25" s="82"/>
      <c r="D25" s="82"/>
      <c r="E25" s="82"/>
      <c r="F25" s="82"/>
      <c r="G25" s="82"/>
      <c r="H25" s="82"/>
    </row>
    <row r="26" spans="1:8" ht="14.45" hidden="1" x14ac:dyDescent="0.35">
      <c r="A26" s="47"/>
      <c r="B26" s="82"/>
      <c r="C26" s="82"/>
      <c r="D26" s="82"/>
      <c r="E26" s="82"/>
      <c r="F26" s="82"/>
      <c r="G26" s="82"/>
      <c r="H26" s="82"/>
    </row>
    <row r="27" spans="1:8" ht="14.45" x14ac:dyDescent="0.35">
      <c r="A27" s="47"/>
      <c r="B27" s="82"/>
      <c r="C27" s="82"/>
      <c r="D27" s="82"/>
      <c r="E27" s="82"/>
      <c r="F27" s="82"/>
      <c r="G27" s="82"/>
      <c r="H27" s="82"/>
    </row>
    <row r="28" spans="1:8" s="110" customFormat="1" ht="14.45" x14ac:dyDescent="0.35">
      <c r="A28" s="78" t="s">
        <v>435</v>
      </c>
      <c r="B28" s="84">
        <f t="shared" ref="B28:H28" si="1">SUM(B13:B26)</f>
        <v>1278.585</v>
      </c>
      <c r="C28" s="84">
        <f t="shared" si="1"/>
        <v>1534.3019999999999</v>
      </c>
      <c r="D28" s="84">
        <f t="shared" si="1"/>
        <v>1790.0189999999998</v>
      </c>
      <c r="E28" s="84">
        <f t="shared" si="1"/>
        <v>2045.7359999999999</v>
      </c>
      <c r="F28" s="84">
        <f t="shared" si="1"/>
        <v>2301.4529999999995</v>
      </c>
      <c r="G28" s="84">
        <f t="shared" si="1"/>
        <v>2557.1699999999992</v>
      </c>
      <c r="H28" s="84">
        <f t="shared" si="1"/>
        <v>2812.8869999999993</v>
      </c>
    </row>
    <row r="29" spans="1:8" ht="14.45" x14ac:dyDescent="0.35">
      <c r="A29" s="114" t="s">
        <v>163</v>
      </c>
      <c r="B29" s="115">
        <v>0</v>
      </c>
      <c r="C29" s="115">
        <f>B29</f>
        <v>0</v>
      </c>
      <c r="D29" s="115">
        <f t="shared" ref="D29:H29" si="2">C29</f>
        <v>0</v>
      </c>
      <c r="E29" s="115">
        <f t="shared" si="2"/>
        <v>0</v>
      </c>
      <c r="F29" s="115">
        <f t="shared" si="2"/>
        <v>0</v>
      </c>
      <c r="G29" s="115">
        <f t="shared" si="2"/>
        <v>0</v>
      </c>
      <c r="H29" s="115">
        <f t="shared" si="2"/>
        <v>0</v>
      </c>
    </row>
    <row r="30" spans="1:8" ht="14.45" x14ac:dyDescent="0.35">
      <c r="A30" s="70" t="s">
        <v>445</v>
      </c>
      <c r="B30" s="116">
        <f>1-B29</f>
        <v>1</v>
      </c>
      <c r="C30" s="116">
        <f t="shared" ref="C30:H30" si="3">1-C29</f>
        <v>1</v>
      </c>
      <c r="D30" s="116">
        <f t="shared" si="3"/>
        <v>1</v>
      </c>
      <c r="E30" s="116">
        <f t="shared" si="3"/>
        <v>1</v>
      </c>
      <c r="F30" s="116">
        <f t="shared" si="3"/>
        <v>1</v>
      </c>
      <c r="G30" s="116">
        <f t="shared" si="3"/>
        <v>1</v>
      </c>
      <c r="H30" s="116">
        <f t="shared" si="3"/>
        <v>1</v>
      </c>
    </row>
    <row r="31" spans="1:8" ht="14.45" x14ac:dyDescent="0.35">
      <c r="A31" s="78" t="s">
        <v>163</v>
      </c>
      <c r="B31" s="99">
        <f>B28*B29</f>
        <v>0</v>
      </c>
      <c r="C31" s="99">
        <f t="shared" ref="C31:H31" si="4">C28*C29</f>
        <v>0</v>
      </c>
      <c r="D31" s="99">
        <f t="shared" si="4"/>
        <v>0</v>
      </c>
      <c r="E31" s="99">
        <f t="shared" si="4"/>
        <v>0</v>
      </c>
      <c r="F31" s="99">
        <f t="shared" si="4"/>
        <v>0</v>
      </c>
      <c r="G31" s="99">
        <f t="shared" si="4"/>
        <v>0</v>
      </c>
      <c r="H31" s="99">
        <f t="shared" si="4"/>
        <v>0</v>
      </c>
    </row>
    <row r="32" spans="1:8" ht="14.45" x14ac:dyDescent="0.35">
      <c r="A32" s="78" t="s">
        <v>164</v>
      </c>
      <c r="B32" s="84"/>
      <c r="C32" s="84"/>
      <c r="D32" s="84"/>
      <c r="E32" s="84"/>
      <c r="F32" s="84"/>
      <c r="G32" s="84"/>
      <c r="H32" s="84"/>
    </row>
    <row r="33" spans="1:8" ht="14.45" x14ac:dyDescent="0.35">
      <c r="A33" s="47" t="str">
        <f t="shared" ref="A33:A39" si="5">A13</f>
        <v>Maize</v>
      </c>
      <c r="B33" s="82">
        <f t="shared" ref="B33:B39" si="6">B13*$B$30</f>
        <v>779.625</v>
      </c>
      <c r="C33" s="82">
        <f t="shared" ref="C33:C39" si="7">C13*$C$30</f>
        <v>935.55</v>
      </c>
      <c r="D33" s="82">
        <f t="shared" ref="D33:D39" si="8">D13*$D$30</f>
        <v>1091.4749999999999</v>
      </c>
      <c r="E33" s="82">
        <f t="shared" ref="E33:E39" si="9">E13*$E$30</f>
        <v>1247.3999999999999</v>
      </c>
      <c r="F33" s="82">
        <f t="shared" ref="F33:F39" si="10">F13*$F$30</f>
        <v>1403.3249999999996</v>
      </c>
      <c r="G33" s="82">
        <f t="shared" ref="G33:G39" si="11">G13*$G$30</f>
        <v>1559.2499999999993</v>
      </c>
      <c r="H33" s="82">
        <f t="shared" ref="H33:H39" si="12">H13*$H$30</f>
        <v>1715.1749999999995</v>
      </c>
    </row>
    <row r="34" spans="1:8" ht="14.45" x14ac:dyDescent="0.35">
      <c r="A34" s="47" t="str">
        <f t="shared" si="5"/>
        <v>Maize</v>
      </c>
      <c r="B34" s="82">
        <f t="shared" si="6"/>
        <v>498.96</v>
      </c>
      <c r="C34" s="82">
        <f t="shared" si="7"/>
        <v>598.75199999999995</v>
      </c>
      <c r="D34" s="82">
        <f t="shared" si="8"/>
        <v>698.54399999999998</v>
      </c>
      <c r="E34" s="82">
        <f t="shared" si="9"/>
        <v>798.3359999999999</v>
      </c>
      <c r="F34" s="82">
        <f t="shared" si="10"/>
        <v>898.12799999999993</v>
      </c>
      <c r="G34" s="82">
        <f t="shared" si="11"/>
        <v>997.91999999999985</v>
      </c>
      <c r="H34" s="82">
        <f t="shared" si="12"/>
        <v>1097.7119999999998</v>
      </c>
    </row>
    <row r="35" spans="1:8" ht="14.45" hidden="1" x14ac:dyDescent="0.35">
      <c r="A35" s="47">
        <f t="shared" si="5"/>
        <v>0</v>
      </c>
      <c r="B35" s="82">
        <f t="shared" si="6"/>
        <v>0</v>
      </c>
      <c r="C35" s="82">
        <f t="shared" si="7"/>
        <v>0</v>
      </c>
      <c r="D35" s="82">
        <f t="shared" si="8"/>
        <v>0</v>
      </c>
      <c r="E35" s="82">
        <f t="shared" si="9"/>
        <v>0</v>
      </c>
      <c r="F35" s="82">
        <f t="shared" si="10"/>
        <v>0</v>
      </c>
      <c r="G35" s="82">
        <f t="shared" si="11"/>
        <v>0</v>
      </c>
      <c r="H35" s="82">
        <f t="shared" si="12"/>
        <v>0</v>
      </c>
    </row>
    <row r="36" spans="1:8" ht="14.45" hidden="1" x14ac:dyDescent="0.35">
      <c r="A36" s="47">
        <f t="shared" si="5"/>
        <v>0</v>
      </c>
      <c r="B36" s="82">
        <f t="shared" si="6"/>
        <v>0</v>
      </c>
      <c r="C36" s="82">
        <f t="shared" si="7"/>
        <v>0</v>
      </c>
      <c r="D36" s="82">
        <f t="shared" si="8"/>
        <v>0</v>
      </c>
      <c r="E36" s="82">
        <f t="shared" si="9"/>
        <v>0</v>
      </c>
      <c r="F36" s="82">
        <f t="shared" si="10"/>
        <v>0</v>
      </c>
      <c r="G36" s="82">
        <f t="shared" si="11"/>
        <v>0</v>
      </c>
      <c r="H36" s="82">
        <f t="shared" si="12"/>
        <v>0</v>
      </c>
    </row>
    <row r="37" spans="1:8" ht="14.45" hidden="1" x14ac:dyDescent="0.35">
      <c r="A37" s="47">
        <f t="shared" si="5"/>
        <v>0</v>
      </c>
      <c r="B37" s="82">
        <f t="shared" si="6"/>
        <v>0</v>
      </c>
      <c r="C37" s="82">
        <f t="shared" si="7"/>
        <v>0</v>
      </c>
      <c r="D37" s="82">
        <f t="shared" si="8"/>
        <v>0</v>
      </c>
      <c r="E37" s="82">
        <f t="shared" si="9"/>
        <v>0</v>
      </c>
      <c r="F37" s="82">
        <f t="shared" si="10"/>
        <v>0</v>
      </c>
      <c r="G37" s="82">
        <f t="shared" si="11"/>
        <v>0</v>
      </c>
      <c r="H37" s="82">
        <f t="shared" si="12"/>
        <v>0</v>
      </c>
    </row>
    <row r="38" spans="1:8" ht="14.45" hidden="1" x14ac:dyDescent="0.35">
      <c r="A38" s="47">
        <f t="shared" si="5"/>
        <v>0</v>
      </c>
      <c r="B38" s="82">
        <f t="shared" si="6"/>
        <v>0</v>
      </c>
      <c r="C38" s="82">
        <f t="shared" si="7"/>
        <v>0</v>
      </c>
      <c r="D38" s="82">
        <f t="shared" si="8"/>
        <v>0</v>
      </c>
      <c r="E38" s="82">
        <f t="shared" si="9"/>
        <v>0</v>
      </c>
      <c r="F38" s="82">
        <f t="shared" si="10"/>
        <v>0</v>
      </c>
      <c r="G38" s="82">
        <f t="shared" si="11"/>
        <v>0</v>
      </c>
      <c r="H38" s="82">
        <f t="shared" si="12"/>
        <v>0</v>
      </c>
    </row>
    <row r="39" spans="1:8" ht="14.45" hidden="1" x14ac:dyDescent="0.35">
      <c r="A39" s="47">
        <f t="shared" si="5"/>
        <v>0</v>
      </c>
      <c r="B39" s="82">
        <f t="shared" si="6"/>
        <v>0</v>
      </c>
      <c r="C39" s="82">
        <f t="shared" si="7"/>
        <v>0</v>
      </c>
      <c r="D39" s="82">
        <f t="shared" si="8"/>
        <v>0</v>
      </c>
      <c r="E39" s="82">
        <f t="shared" si="9"/>
        <v>0</v>
      </c>
      <c r="F39" s="82">
        <f t="shared" si="10"/>
        <v>0</v>
      </c>
      <c r="G39" s="82">
        <f t="shared" si="11"/>
        <v>0</v>
      </c>
      <c r="H39" s="82">
        <f t="shared" si="12"/>
        <v>0</v>
      </c>
    </row>
    <row r="40" spans="1:8" ht="14.45" hidden="1" x14ac:dyDescent="0.35">
      <c r="A40" s="47">
        <f>A23</f>
        <v>0</v>
      </c>
      <c r="B40" s="82">
        <f t="shared" ref="B40:H43" si="13">B23*$B$30</f>
        <v>0</v>
      </c>
      <c r="C40" s="82">
        <f t="shared" si="13"/>
        <v>0</v>
      </c>
      <c r="D40" s="82">
        <f t="shared" si="13"/>
        <v>0</v>
      </c>
      <c r="E40" s="82">
        <f t="shared" si="13"/>
        <v>0</v>
      </c>
      <c r="F40" s="82">
        <f t="shared" si="13"/>
        <v>0</v>
      </c>
      <c r="G40" s="82">
        <f t="shared" si="13"/>
        <v>0</v>
      </c>
      <c r="H40" s="82">
        <f t="shared" si="13"/>
        <v>0</v>
      </c>
    </row>
    <row r="41" spans="1:8" ht="14.45" hidden="1" x14ac:dyDescent="0.35">
      <c r="A41" s="47">
        <f>A24</f>
        <v>0</v>
      </c>
      <c r="B41" s="82">
        <f t="shared" si="13"/>
        <v>0</v>
      </c>
      <c r="C41" s="82">
        <f t="shared" si="13"/>
        <v>0</v>
      </c>
      <c r="D41" s="82">
        <f t="shared" si="13"/>
        <v>0</v>
      </c>
      <c r="E41" s="82">
        <f t="shared" si="13"/>
        <v>0</v>
      </c>
      <c r="F41" s="82">
        <f t="shared" si="13"/>
        <v>0</v>
      </c>
      <c r="G41" s="82">
        <f t="shared" si="13"/>
        <v>0</v>
      </c>
      <c r="H41" s="82">
        <f t="shared" si="13"/>
        <v>0</v>
      </c>
    </row>
    <row r="42" spans="1:8" ht="14.45" hidden="1" x14ac:dyDescent="0.35">
      <c r="A42" s="47">
        <f>A25</f>
        <v>0</v>
      </c>
      <c r="B42" s="82">
        <f t="shared" si="13"/>
        <v>0</v>
      </c>
      <c r="C42" s="82">
        <f t="shared" si="13"/>
        <v>0</v>
      </c>
      <c r="D42" s="82">
        <f t="shared" si="13"/>
        <v>0</v>
      </c>
      <c r="E42" s="82">
        <f t="shared" si="13"/>
        <v>0</v>
      </c>
      <c r="F42" s="82">
        <f t="shared" si="13"/>
        <v>0</v>
      </c>
      <c r="G42" s="82">
        <f t="shared" si="13"/>
        <v>0</v>
      </c>
      <c r="H42" s="82">
        <f t="shared" si="13"/>
        <v>0</v>
      </c>
    </row>
    <row r="43" spans="1:8" ht="14.45" hidden="1" x14ac:dyDescent="0.35">
      <c r="A43" s="47">
        <f>A26</f>
        <v>0</v>
      </c>
      <c r="B43" s="82">
        <f t="shared" si="13"/>
        <v>0</v>
      </c>
      <c r="C43" s="82">
        <f t="shared" si="13"/>
        <v>0</v>
      </c>
      <c r="D43" s="82">
        <f t="shared" si="13"/>
        <v>0</v>
      </c>
      <c r="E43" s="82">
        <f t="shared" si="13"/>
        <v>0</v>
      </c>
      <c r="F43" s="82">
        <f t="shared" si="13"/>
        <v>0</v>
      </c>
      <c r="G43" s="82">
        <f t="shared" si="13"/>
        <v>0</v>
      </c>
      <c r="H43" s="82">
        <f t="shared" si="13"/>
        <v>0</v>
      </c>
    </row>
    <row r="44" spans="1:8" ht="14.45" x14ac:dyDescent="0.35">
      <c r="A44" s="78" t="s">
        <v>272</v>
      </c>
      <c r="B44" s="82"/>
      <c r="C44" s="82"/>
      <c r="D44" s="82"/>
      <c r="E44" s="82"/>
      <c r="F44" s="82"/>
      <c r="G44" s="82"/>
      <c r="H44" s="82"/>
    </row>
    <row r="45" spans="1:8" ht="14.45" x14ac:dyDescent="0.35">
      <c r="A45" s="47" t="str">
        <f>A33</f>
        <v>Maize</v>
      </c>
      <c r="B45" s="82">
        <f>((B$33+B34)*98%)</f>
        <v>1253.0133000000001</v>
      </c>
      <c r="C45" s="82">
        <f t="shared" ref="C45:H45" si="14">((C$33+C34)*98%)</f>
        <v>1503.6159599999999</v>
      </c>
      <c r="D45" s="82">
        <f t="shared" si="14"/>
        <v>1754.2186199999996</v>
      </c>
      <c r="E45" s="82">
        <f t="shared" si="14"/>
        <v>2004.8212799999999</v>
      </c>
      <c r="F45" s="82">
        <f t="shared" si="14"/>
        <v>2255.4239399999997</v>
      </c>
      <c r="G45" s="82">
        <f t="shared" si="14"/>
        <v>2506.0265999999992</v>
      </c>
      <c r="H45" s="82">
        <f t="shared" si="14"/>
        <v>2756.6292599999992</v>
      </c>
    </row>
    <row r="46" spans="1:8" ht="14.45" hidden="1" x14ac:dyDescent="0.35">
      <c r="A46" s="47"/>
      <c r="B46" s="82"/>
      <c r="C46" s="82"/>
      <c r="D46" s="82"/>
      <c r="E46" s="82"/>
      <c r="F46" s="82"/>
      <c r="G46" s="82"/>
      <c r="H46" s="82"/>
    </row>
    <row r="47" spans="1:8" ht="14.45" hidden="1" x14ac:dyDescent="0.35">
      <c r="A47" s="47"/>
      <c r="B47" s="82"/>
      <c r="C47" s="82"/>
      <c r="D47" s="82"/>
      <c r="E47" s="82"/>
      <c r="F47" s="82"/>
      <c r="G47" s="82"/>
      <c r="H47" s="82"/>
    </row>
    <row r="48" spans="1:8" ht="14.45" hidden="1" x14ac:dyDescent="0.35">
      <c r="A48" s="47"/>
      <c r="B48" s="82"/>
      <c r="C48" s="82"/>
      <c r="D48" s="82"/>
      <c r="E48" s="82"/>
      <c r="F48" s="82"/>
      <c r="G48" s="82"/>
      <c r="H48" s="82"/>
    </row>
    <row r="49" spans="1:8" ht="14.45" hidden="1" x14ac:dyDescent="0.35">
      <c r="A49" s="47"/>
      <c r="B49" s="82"/>
      <c r="C49" s="82"/>
      <c r="D49" s="82"/>
      <c r="E49" s="82"/>
      <c r="F49" s="82"/>
      <c r="G49" s="82"/>
      <c r="H49" s="82"/>
    </row>
    <row r="50" spans="1:8" ht="14.45" hidden="1" x14ac:dyDescent="0.35">
      <c r="A50" s="47"/>
      <c r="B50" s="82"/>
      <c r="C50" s="82"/>
      <c r="D50" s="82"/>
      <c r="E50" s="82"/>
      <c r="F50" s="82"/>
      <c r="G50" s="82"/>
      <c r="H50" s="82"/>
    </row>
    <row r="51" spans="1:8" ht="14.45" hidden="1" x14ac:dyDescent="0.35">
      <c r="A51" s="47"/>
      <c r="B51" s="82"/>
      <c r="C51" s="82"/>
      <c r="D51" s="82"/>
      <c r="E51" s="82"/>
      <c r="F51" s="82"/>
      <c r="G51" s="82"/>
      <c r="H51" s="82"/>
    </row>
    <row r="52" spans="1:8" ht="14.45" hidden="1" x14ac:dyDescent="0.35">
      <c r="A52" s="47">
        <f>A42</f>
        <v>0</v>
      </c>
      <c r="B52" s="82"/>
      <c r="C52" s="82"/>
      <c r="D52" s="82"/>
      <c r="E52" s="82"/>
      <c r="F52" s="82"/>
      <c r="G52" s="82"/>
      <c r="H52" s="82"/>
    </row>
    <row r="53" spans="1:8" ht="14.45" hidden="1" x14ac:dyDescent="0.35">
      <c r="A53" s="47"/>
      <c r="B53" s="82"/>
      <c r="C53" s="82"/>
      <c r="D53" s="82"/>
      <c r="E53" s="82"/>
      <c r="F53" s="82"/>
      <c r="G53" s="82"/>
      <c r="H53" s="82"/>
    </row>
    <row r="54" spans="1:8" ht="14.45" hidden="1" x14ac:dyDescent="0.35">
      <c r="A54" s="47"/>
      <c r="B54" s="82"/>
      <c r="C54" s="82"/>
      <c r="D54" s="82"/>
      <c r="E54" s="82"/>
      <c r="F54" s="82"/>
      <c r="G54" s="82"/>
      <c r="H54" s="82"/>
    </row>
    <row r="55" spans="1:8" ht="14.45" hidden="1" x14ac:dyDescent="0.35">
      <c r="A55" s="47"/>
      <c r="B55" s="82"/>
      <c r="C55" s="82"/>
      <c r="D55" s="82"/>
      <c r="E55" s="82"/>
      <c r="F55" s="82"/>
      <c r="G55" s="82"/>
      <c r="H55" s="82"/>
    </row>
    <row r="56" spans="1:8" ht="14.45" hidden="1" x14ac:dyDescent="0.35">
      <c r="A56" s="47">
        <f>A43</f>
        <v>0</v>
      </c>
      <c r="B56" s="82"/>
      <c r="C56" s="82"/>
      <c r="D56" s="82"/>
      <c r="E56" s="82"/>
      <c r="F56" s="82"/>
      <c r="G56" s="82"/>
      <c r="H56" s="82"/>
    </row>
    <row r="57" spans="1:8" ht="14.45" hidden="1" x14ac:dyDescent="0.35">
      <c r="A57" s="47"/>
      <c r="B57" s="82"/>
      <c r="C57" s="82"/>
      <c r="D57" s="82"/>
      <c r="E57" s="82"/>
      <c r="F57" s="82"/>
      <c r="G57" s="82"/>
      <c r="H57" s="82"/>
    </row>
    <row r="58" spans="1:8" ht="14.45" hidden="1" x14ac:dyDescent="0.35">
      <c r="A58" s="47"/>
      <c r="B58" s="82"/>
      <c r="C58" s="82"/>
      <c r="D58" s="82"/>
      <c r="E58" s="82"/>
      <c r="F58" s="82"/>
      <c r="G58" s="82"/>
      <c r="H58" s="82"/>
    </row>
    <row r="59" spans="1:8" ht="14.45" hidden="1" x14ac:dyDescent="0.35">
      <c r="A59" s="47"/>
      <c r="B59" s="82"/>
      <c r="C59" s="82"/>
      <c r="D59" s="82"/>
      <c r="E59" s="82"/>
      <c r="F59" s="82"/>
      <c r="G59" s="82"/>
      <c r="H59" s="82"/>
    </row>
    <row r="60" spans="1:8" ht="14.45" x14ac:dyDescent="0.35">
      <c r="A60" s="72"/>
      <c r="B60" s="117"/>
      <c r="C60" s="117"/>
      <c r="D60" s="117"/>
      <c r="E60" s="117"/>
      <c r="F60" s="117"/>
      <c r="G60" s="117"/>
      <c r="H60" s="117"/>
    </row>
    <row r="61" spans="1:8" ht="14.45" x14ac:dyDescent="0.35">
      <c r="A61" s="73" t="s">
        <v>422</v>
      </c>
      <c r="B61" s="118"/>
      <c r="C61" s="118"/>
      <c r="D61" s="118"/>
      <c r="E61" s="118"/>
      <c r="F61" s="118"/>
      <c r="G61" s="118"/>
      <c r="H61" s="118"/>
    </row>
    <row r="62" spans="1:8" x14ac:dyDescent="0.25">
      <c r="A62" s="39" t="s">
        <v>716</v>
      </c>
      <c r="B62" s="118">
        <f>(B45*100/50)</f>
        <v>2506.0266000000001</v>
      </c>
      <c r="C62" s="118">
        <f t="shared" ref="C62:H62" si="15">(C45*100/50)</f>
        <v>3007.2319199999997</v>
      </c>
      <c r="D62" s="118">
        <f t="shared" si="15"/>
        <v>3508.4372399999993</v>
      </c>
      <c r="E62" s="118">
        <f t="shared" si="15"/>
        <v>4009.6425599999998</v>
      </c>
      <c r="F62" s="118">
        <f t="shared" si="15"/>
        <v>4510.8478799999993</v>
      </c>
      <c r="G62" s="118">
        <f t="shared" si="15"/>
        <v>5012.0531999999985</v>
      </c>
      <c r="H62" s="118">
        <f t="shared" si="15"/>
        <v>5513.2585199999985</v>
      </c>
    </row>
    <row r="63" spans="1:8" x14ac:dyDescent="0.25">
      <c r="B63" s="118"/>
      <c r="C63" s="118"/>
      <c r="D63" s="118"/>
      <c r="E63" s="118"/>
      <c r="F63" s="118"/>
      <c r="G63" s="118"/>
      <c r="H63" s="118"/>
    </row>
    <row r="64" spans="1:8" x14ac:dyDescent="0.25">
      <c r="B64" s="119"/>
      <c r="C64" s="119"/>
      <c r="D64" s="119"/>
      <c r="E64" s="119"/>
      <c r="F64" s="119"/>
      <c r="G64" s="119"/>
      <c r="H64" s="119"/>
    </row>
    <row r="66" spans="1:10" x14ac:dyDescent="0.25">
      <c r="B66" s="119"/>
      <c r="C66" s="119"/>
    </row>
    <row r="67" spans="1:10" x14ac:dyDescent="0.25">
      <c r="B67" s="119"/>
      <c r="C67" s="119"/>
      <c r="D67" s="119"/>
    </row>
    <row r="68" spans="1:10" x14ac:dyDescent="0.25">
      <c r="A68" s="427" t="s">
        <v>551</v>
      </c>
      <c r="B68" s="427"/>
      <c r="C68" s="427"/>
      <c r="D68" s="427"/>
      <c r="E68" s="427"/>
      <c r="F68" s="427"/>
      <c r="G68" s="427"/>
      <c r="H68" s="427"/>
      <c r="I68" s="427"/>
      <c r="J68" s="427"/>
    </row>
    <row r="69" spans="1:10" x14ac:dyDescent="0.25">
      <c r="A69" s="96"/>
      <c r="B69" s="96"/>
      <c r="C69" s="96"/>
      <c r="D69" s="96"/>
      <c r="E69" s="96"/>
      <c r="F69" s="96"/>
      <c r="G69" s="96"/>
      <c r="H69" s="96"/>
    </row>
    <row r="70" spans="1:10" x14ac:dyDescent="0.25">
      <c r="A70" s="96"/>
      <c r="B70" s="96"/>
      <c r="C70" s="96"/>
      <c r="D70" s="108">
        <v>1</v>
      </c>
      <c r="E70" s="109">
        <f>(D70*5%)+D70</f>
        <v>1.05</v>
      </c>
      <c r="F70" s="109">
        <f t="shared" ref="F70:J70" si="16">(E70*5%)+E70</f>
        <v>1.1025</v>
      </c>
      <c r="G70" s="109">
        <f t="shared" si="16"/>
        <v>1.1576250000000001</v>
      </c>
      <c r="H70" s="109">
        <f t="shared" si="16"/>
        <v>1.2155062500000002</v>
      </c>
      <c r="I70" s="109">
        <f t="shared" si="16"/>
        <v>1.2762815625000004</v>
      </c>
      <c r="J70" s="109">
        <f t="shared" si="16"/>
        <v>1.3400956406250004</v>
      </c>
    </row>
    <row r="72" spans="1:10" x14ac:dyDescent="0.25">
      <c r="A72" s="76" t="s">
        <v>0</v>
      </c>
      <c r="B72" s="76" t="s">
        <v>132</v>
      </c>
      <c r="C72" s="76" t="s">
        <v>150</v>
      </c>
      <c r="D72" s="77" t="s">
        <v>2</v>
      </c>
      <c r="E72" s="77" t="s">
        <v>3</v>
      </c>
      <c r="F72" s="77" t="s">
        <v>4</v>
      </c>
      <c r="G72" s="77" t="s">
        <v>5</v>
      </c>
      <c r="H72" s="77" t="s">
        <v>6</v>
      </c>
      <c r="I72" s="77" t="s">
        <v>166</v>
      </c>
      <c r="J72" s="77" t="s">
        <v>165</v>
      </c>
    </row>
    <row r="73" spans="1:10" x14ac:dyDescent="0.25">
      <c r="A73" s="47"/>
      <c r="B73" s="47"/>
      <c r="C73" s="47"/>
      <c r="D73" s="47"/>
      <c r="E73" s="47"/>
      <c r="F73" s="47"/>
      <c r="G73" s="47"/>
      <c r="H73" s="47"/>
      <c r="I73" s="47"/>
      <c r="J73" s="47"/>
    </row>
    <row r="74" spans="1:10" x14ac:dyDescent="0.25">
      <c r="A74" s="78" t="s">
        <v>126</v>
      </c>
      <c r="B74" s="78"/>
      <c r="C74" s="78"/>
      <c r="D74" s="120"/>
      <c r="E74" s="120"/>
      <c r="F74" s="120"/>
      <c r="G74" s="120"/>
      <c r="H74" s="120"/>
      <c r="I74" s="47"/>
      <c r="J74" s="47"/>
    </row>
    <row r="75" spans="1:10" x14ac:dyDescent="0.25">
      <c r="A75" s="47" t="s">
        <v>717</v>
      </c>
      <c r="B75" s="85" t="s">
        <v>341</v>
      </c>
      <c r="C75" s="85">
        <v>1500</v>
      </c>
      <c r="D75" s="82">
        <f>(B62*(1-'5.Closing Stock &amp; W Capital'!$D$18)*$C75*D$70)</f>
        <v>3571087.9049999998</v>
      </c>
      <c r="E75" s="82">
        <f>(((C62*(1-'5.Closing Stock &amp; W Capital'!$D$18))+(B62*'5.Closing Stock &amp; W Capital'!$D$18))*$C75*E$70)</f>
        <v>4696920.3550499994</v>
      </c>
      <c r="F75" s="82">
        <f>(((D62*(1-'5.Closing Stock &amp; W Capital'!$D$18))+(C62*'5.Closing Stock &amp; W Capital'!$D$18))*$C75*F$70)</f>
        <v>5760634.6707524993</v>
      </c>
      <c r="G75" s="82">
        <f>(((E62*(1-'5.Closing Stock &amp; W Capital'!$D$18))+(D62*'5.Closing Stock &amp; W Capital'!$D$18))*$C75*G$70)</f>
        <v>6918978.1171376249</v>
      </c>
      <c r="H75" s="82">
        <f>(((F62*(1-'5.Closing Stock &amp; W Capital'!$D$18))+(E62*'5.Closing Stock &amp; W Capital'!$D$18))*$C75*H$70)</f>
        <v>8178754.3214843804</v>
      </c>
      <c r="I75" s="82">
        <f>(((G62*(1-'5.Closing Stock &amp; W Capital'!$D$18))+(F62*'5.Closing Stock &amp; W Capital'!$D$18))*$C75*I$70)</f>
        <v>9547210.7009729668</v>
      </c>
      <c r="J75" s="82">
        <f>(((H62*(1-'5.Closing Stock &amp; W Capital'!$D$18))+(G62*'5.Closing Stock &amp; W Capital'!$D$18))*$C75*J$70)</f>
        <v>11032065.832606705</v>
      </c>
    </row>
    <row r="76" spans="1:10" ht="14.45" hidden="1" x14ac:dyDescent="0.35">
      <c r="A76" s="47">
        <f>A46</f>
        <v>0</v>
      </c>
      <c r="B76" s="85" t="s">
        <v>487</v>
      </c>
      <c r="C76" s="85">
        <v>40</v>
      </c>
      <c r="D76" s="82">
        <f>(B63*(1-'5.Closing Stock &amp; W Capital'!$D$18)*$C76*D$70)</f>
        <v>0</v>
      </c>
      <c r="E76" s="82">
        <f>(((C63*(1-'5.Closing Stock &amp; W Capital'!$D$18))+(B63*'5.Closing Stock &amp; W Capital'!$D$18))*$C76*E$70)</f>
        <v>0</v>
      </c>
      <c r="F76" s="82">
        <f>(((D63*(1-'5.Closing Stock &amp; W Capital'!$D$18))+(C63*'5.Closing Stock &amp; W Capital'!$D$18))*$C76*F$70)</f>
        <v>0</v>
      </c>
      <c r="G76" s="82">
        <f>(((E63*(1-'5.Closing Stock &amp; W Capital'!$D$18))+(D63*'5.Closing Stock &amp; W Capital'!$D$18))*$C76*G$70)</f>
        <v>0</v>
      </c>
      <c r="H76" s="82">
        <f>(((F63*(1-'5.Closing Stock &amp; W Capital'!$D$18))+(E63*'5.Closing Stock &amp; W Capital'!$D$18))*$C76*H$70)</f>
        <v>0</v>
      </c>
      <c r="I76" s="82">
        <f>(((G63*(1-'5.Closing Stock &amp; W Capital'!$D$18))+(F63*'5.Closing Stock &amp; W Capital'!$D$18))*$C76*I$70)</f>
        <v>0</v>
      </c>
      <c r="J76" s="82">
        <f>(((H63*(1-'5.Closing Stock &amp; W Capital'!$D$18))+(G63*'5.Closing Stock &amp; W Capital'!$D$18))*$C76*J$70)</f>
        <v>0</v>
      </c>
    </row>
    <row r="77" spans="1:10" ht="14.45" hidden="1" x14ac:dyDescent="0.35">
      <c r="A77" s="47">
        <f>A47</f>
        <v>0</v>
      </c>
      <c r="B77" s="85" t="s">
        <v>342</v>
      </c>
      <c r="C77" s="85">
        <v>50</v>
      </c>
      <c r="D77" s="82">
        <f>(B64*(1-'5.Closing Stock &amp; W Capital'!$D$18)*$C77*D$70)</f>
        <v>0</v>
      </c>
      <c r="E77" s="82">
        <f>(((C64*(1-'5.Closing Stock &amp; W Capital'!$D$18))+(B64*'5.Closing Stock &amp; W Capital'!$D$18))*$C77*E$70)</f>
        <v>0</v>
      </c>
      <c r="F77" s="82">
        <f>(((D64*(1-'5.Closing Stock &amp; W Capital'!$D$18))+(C64*'5.Closing Stock &amp; W Capital'!$D$18))*$C77*F$70)</f>
        <v>0</v>
      </c>
      <c r="G77" s="82">
        <f>(((E64*(1-'5.Closing Stock &amp; W Capital'!$D$18))+(D64*'5.Closing Stock &amp; W Capital'!$D$18))*$C77*G$70)</f>
        <v>0</v>
      </c>
      <c r="H77" s="82">
        <f>(((F64*(1-'5.Closing Stock &amp; W Capital'!$D$18))+(E64*'5.Closing Stock &amp; W Capital'!$D$18))*$C77*H$70)</f>
        <v>0</v>
      </c>
      <c r="I77" s="82">
        <f>(((G64*(1-'5.Closing Stock &amp; W Capital'!$D$18))+(F64*'5.Closing Stock &amp; W Capital'!$D$18))*$C77*I$70)</f>
        <v>0</v>
      </c>
      <c r="J77" s="82">
        <f>(((H64*(1-'5.Closing Stock &amp; W Capital'!$D$18))+(G64*'5.Closing Stock &amp; W Capital'!$D$18))*$C77*J$70)</f>
        <v>0</v>
      </c>
    </row>
    <row r="78" spans="1:10" ht="14.45" hidden="1" x14ac:dyDescent="0.35">
      <c r="A78" s="47"/>
      <c r="B78" s="85"/>
      <c r="C78" s="85"/>
      <c r="D78" s="82"/>
      <c r="E78" s="82"/>
      <c r="F78" s="82"/>
      <c r="G78" s="82"/>
      <c r="H78" s="82"/>
      <c r="I78" s="82"/>
      <c r="J78" s="82"/>
    </row>
    <row r="79" spans="1:10" x14ac:dyDescent="0.25">
      <c r="A79" s="47"/>
      <c r="B79" s="47"/>
      <c r="C79" s="47"/>
      <c r="D79" s="82"/>
      <c r="E79" s="82"/>
      <c r="F79" s="82"/>
      <c r="G79" s="82"/>
      <c r="H79" s="82"/>
      <c r="I79" s="82"/>
      <c r="J79" s="82"/>
    </row>
    <row r="80" spans="1:10" x14ac:dyDescent="0.25">
      <c r="A80" s="78" t="s">
        <v>126</v>
      </c>
      <c r="B80" s="78"/>
      <c r="C80" s="78"/>
      <c r="D80" s="84">
        <f t="shared" ref="D80:J80" si="17">SUM(D75:D78)</f>
        <v>3571087.9049999998</v>
      </c>
      <c r="E80" s="84">
        <f t="shared" si="17"/>
        <v>4696920.3550499994</v>
      </c>
      <c r="F80" s="84">
        <f t="shared" si="17"/>
        <v>5760634.6707524993</v>
      </c>
      <c r="G80" s="84">
        <f t="shared" si="17"/>
        <v>6918978.1171376249</v>
      </c>
      <c r="H80" s="84">
        <f t="shared" si="17"/>
        <v>8178754.3214843804</v>
      </c>
      <c r="I80" s="84">
        <f t="shared" si="17"/>
        <v>9547210.7009729668</v>
      </c>
      <c r="J80" s="84">
        <f t="shared" si="17"/>
        <v>11032065.832606705</v>
      </c>
    </row>
    <row r="81" spans="1:10" x14ac:dyDescent="0.25">
      <c r="A81" s="47"/>
      <c r="B81" s="47"/>
      <c r="C81" s="47"/>
      <c r="D81" s="82"/>
      <c r="E81" s="82"/>
      <c r="F81" s="82"/>
      <c r="G81" s="82"/>
      <c r="H81" s="82"/>
      <c r="I81" s="82"/>
      <c r="J81" s="82"/>
    </row>
    <row r="82" spans="1:10" x14ac:dyDescent="0.25">
      <c r="A82" s="78" t="s">
        <v>141</v>
      </c>
      <c r="B82" s="78"/>
      <c r="C82" s="78"/>
      <c r="D82" s="82"/>
      <c r="E82" s="82"/>
      <c r="F82" s="82"/>
      <c r="G82" s="82"/>
      <c r="H82" s="82"/>
      <c r="I82" s="82"/>
      <c r="J82" s="82"/>
    </row>
    <row r="83" spans="1:10" x14ac:dyDescent="0.25">
      <c r="A83" s="78" t="s">
        <v>295</v>
      </c>
      <c r="B83" s="78"/>
      <c r="C83" s="47"/>
      <c r="D83" s="82"/>
      <c r="E83" s="82"/>
      <c r="F83" s="82"/>
      <c r="G83" s="82"/>
      <c r="H83" s="82"/>
      <c r="I83" s="82"/>
      <c r="J83" s="82"/>
    </row>
    <row r="84" spans="1:10" x14ac:dyDescent="0.25">
      <c r="A84" s="70" t="s">
        <v>375</v>
      </c>
      <c r="B84" s="85" t="s">
        <v>343</v>
      </c>
      <c r="C84" s="97">
        <f>'12.Facility 1 - Trading'!C233</f>
        <v>1800</v>
      </c>
      <c r="D84" s="82">
        <f>(B$33+B$34)*$C84*D$70</f>
        <v>2301453</v>
      </c>
      <c r="E84" s="82">
        <f t="shared" ref="E84:J84" si="18">(C$33+C$34)*$C84*E$70</f>
        <v>2899830.78</v>
      </c>
      <c r="F84" s="82">
        <f t="shared" si="18"/>
        <v>3552292.7054999997</v>
      </c>
      <c r="G84" s="82">
        <f t="shared" si="18"/>
        <v>4262751.2466000002</v>
      </c>
      <c r="H84" s="82">
        <f t="shared" si="18"/>
        <v>5035374.9100462496</v>
      </c>
      <c r="I84" s="82">
        <f t="shared" si="18"/>
        <v>5874604.0617206246</v>
      </c>
      <c r="J84" s="82">
        <f t="shared" si="18"/>
        <v>6785167.691287322</v>
      </c>
    </row>
    <row r="85" spans="1:10" x14ac:dyDescent="0.25">
      <c r="A85" s="47" t="s">
        <v>718</v>
      </c>
      <c r="B85" s="85" t="s">
        <v>343</v>
      </c>
      <c r="C85" s="85">
        <v>80</v>
      </c>
      <c r="D85" s="82">
        <f>(B$33+B$34)*$C85*D$70</f>
        <v>102286.8</v>
      </c>
      <c r="E85" s="82">
        <f t="shared" ref="E85" si="19">(C$33+C$34)*$C85*E$70</f>
        <v>128881.36799999999</v>
      </c>
      <c r="F85" s="82">
        <f t="shared" ref="F85" si="20">(D$33+D$34)*$C85*F$70</f>
        <v>157879.6758</v>
      </c>
      <c r="G85" s="82">
        <f t="shared" ref="G85" si="21">(E$33+E$34)*$C85*G$70</f>
        <v>189455.61096000002</v>
      </c>
      <c r="H85" s="82">
        <f t="shared" ref="H85" si="22">(F$33+F$34)*$C85*H$70</f>
        <v>223794.4404465</v>
      </c>
      <c r="I85" s="82">
        <f t="shared" ref="I85" si="23">(G$33+G$34)*$C85*I$70</f>
        <v>261093.51385424996</v>
      </c>
      <c r="J85" s="82">
        <f t="shared" ref="J85" si="24">(H$33+H$34)*$C85*J$70</f>
        <v>301563.00850165874</v>
      </c>
    </row>
    <row r="86" spans="1:10" x14ac:dyDescent="0.25">
      <c r="A86" s="47" t="s">
        <v>305</v>
      </c>
      <c r="B86" s="85">
        <v>5</v>
      </c>
      <c r="C86" s="85">
        <v>300</v>
      </c>
      <c r="D86" s="82">
        <f t="shared" ref="D86:J86" si="25">B12*$B$86*$C$86*D70</f>
        <v>239734.6875</v>
      </c>
      <c r="E86" s="82">
        <f t="shared" si="25"/>
        <v>302065.70624999999</v>
      </c>
      <c r="F86" s="82">
        <f t="shared" si="25"/>
        <v>370030.49015625002</v>
      </c>
      <c r="G86" s="82">
        <f t="shared" si="25"/>
        <v>444036.58818750002</v>
      </c>
      <c r="H86" s="82">
        <f t="shared" si="25"/>
        <v>524518.21979648434</v>
      </c>
      <c r="I86" s="82">
        <f t="shared" si="25"/>
        <v>611937.92309589835</v>
      </c>
      <c r="J86" s="82">
        <f t="shared" si="25"/>
        <v>706788.30117576278</v>
      </c>
    </row>
    <row r="87" spans="1:10" x14ac:dyDescent="0.25">
      <c r="A87" s="47" t="s">
        <v>143</v>
      </c>
      <c r="B87" s="47">
        <f>'2.Capex Details'!H47*0.746*8</f>
        <v>262.59199999999998</v>
      </c>
      <c r="C87" s="85">
        <v>8</v>
      </c>
      <c r="D87" s="82">
        <f t="shared" ref="D87:J87" si="26">$B$87*$C$87*B12*D70</f>
        <v>335746.19231999997</v>
      </c>
      <c r="E87" s="82">
        <f t="shared" si="26"/>
        <v>423040.20232320001</v>
      </c>
      <c r="F87" s="82">
        <f t="shared" si="26"/>
        <v>518224.24784591992</v>
      </c>
      <c r="G87" s="82">
        <f t="shared" si="26"/>
        <v>621869.09741510404</v>
      </c>
      <c r="H87" s="82">
        <f t="shared" si="26"/>
        <v>734582.87132159167</v>
      </c>
      <c r="I87" s="82">
        <f t="shared" si="26"/>
        <v>857013.34987519006</v>
      </c>
      <c r="J87" s="82">
        <f t="shared" si="26"/>
        <v>989850.41910584469</v>
      </c>
    </row>
    <row r="88" spans="1:10" x14ac:dyDescent="0.25">
      <c r="A88" s="47" t="s">
        <v>279</v>
      </c>
      <c r="B88" s="47" t="s">
        <v>343</v>
      </c>
      <c r="C88" s="85">
        <v>50</v>
      </c>
      <c r="D88" s="82">
        <f>(B$33+B$34)*$C88*D$70</f>
        <v>63929.25</v>
      </c>
      <c r="E88" s="82">
        <f t="shared" ref="E88:J90" si="27">(C$33+C$34)*$C88*E$70</f>
        <v>80550.854999999996</v>
      </c>
      <c r="F88" s="82">
        <f t="shared" si="27"/>
        <v>98674.79737499998</v>
      </c>
      <c r="G88" s="82">
        <f t="shared" si="27"/>
        <v>118409.75685000001</v>
      </c>
      <c r="H88" s="82">
        <f t="shared" si="27"/>
        <v>139871.52527906251</v>
      </c>
      <c r="I88" s="82">
        <f t="shared" si="27"/>
        <v>163183.44615890624</v>
      </c>
      <c r="J88" s="82">
        <f t="shared" si="27"/>
        <v>188476.88031353673</v>
      </c>
    </row>
    <row r="89" spans="1:10" x14ac:dyDescent="0.25">
      <c r="A89" s="80" t="s">
        <v>719</v>
      </c>
      <c r="B89" s="80"/>
      <c r="C89" s="87">
        <v>30</v>
      </c>
      <c r="D89" s="82">
        <f>(B$62)*$C89*D$70</f>
        <v>75180.79800000001</v>
      </c>
      <c r="E89" s="82">
        <f t="shared" ref="E89:J89" si="28">(C$62)*$C89*E$70</f>
        <v>94727.805479999995</v>
      </c>
      <c r="F89" s="82">
        <f t="shared" si="28"/>
        <v>116041.56171299997</v>
      </c>
      <c r="G89" s="82">
        <f t="shared" si="28"/>
        <v>139249.8740556</v>
      </c>
      <c r="H89" s="82">
        <f t="shared" si="28"/>
        <v>164488.91372817749</v>
      </c>
      <c r="I89" s="82">
        <f t="shared" si="28"/>
        <v>191903.73268287376</v>
      </c>
      <c r="J89" s="82">
        <f t="shared" si="28"/>
        <v>221648.81124871917</v>
      </c>
    </row>
    <row r="90" spans="1:10" x14ac:dyDescent="0.25">
      <c r="A90" s="47" t="s">
        <v>281</v>
      </c>
      <c r="B90" s="47"/>
      <c r="C90" s="85">
        <v>1</v>
      </c>
      <c r="D90" s="82">
        <f t="shared" ref="D90" si="29">(B$33+B$34)*$C90*D$70</f>
        <v>1278.585</v>
      </c>
      <c r="E90" s="82">
        <f t="shared" si="27"/>
        <v>1611.0171</v>
      </c>
      <c r="F90" s="82">
        <f t="shared" si="27"/>
        <v>1973.4959474999998</v>
      </c>
      <c r="G90" s="82">
        <f t="shared" si="27"/>
        <v>2368.1951370000002</v>
      </c>
      <c r="H90" s="82">
        <f t="shared" si="27"/>
        <v>2797.4305055812501</v>
      </c>
      <c r="I90" s="82">
        <f t="shared" si="27"/>
        <v>3263.6689231781247</v>
      </c>
      <c r="J90" s="82">
        <f t="shared" si="27"/>
        <v>3769.5376062707346</v>
      </c>
    </row>
    <row r="91" spans="1:10" ht="14.45" hidden="1" x14ac:dyDescent="0.35">
      <c r="A91" s="47"/>
      <c r="B91" s="47"/>
      <c r="C91" s="47"/>
      <c r="D91" s="47"/>
      <c r="E91" s="47"/>
      <c r="F91" s="47"/>
      <c r="G91" s="47"/>
      <c r="H91" s="47"/>
      <c r="I91" s="47"/>
      <c r="J91" s="47"/>
    </row>
    <row r="92" spans="1:10" ht="14.45" hidden="1" x14ac:dyDescent="0.35">
      <c r="A92" s="47"/>
      <c r="B92" s="47"/>
      <c r="C92" s="47"/>
      <c r="D92" s="47"/>
      <c r="E92" s="47"/>
      <c r="F92" s="47"/>
      <c r="G92" s="47"/>
      <c r="H92" s="47"/>
      <c r="I92" s="47"/>
      <c r="J92" s="47"/>
    </row>
    <row r="93" spans="1:10" ht="14.45" hidden="1" x14ac:dyDescent="0.35">
      <c r="A93" s="47"/>
      <c r="B93" s="47"/>
      <c r="C93" s="47"/>
      <c r="D93" s="47"/>
      <c r="E93" s="47"/>
      <c r="F93" s="47"/>
      <c r="G93" s="47"/>
      <c r="H93" s="47"/>
      <c r="I93" s="47"/>
      <c r="J93" s="47"/>
    </row>
    <row r="94" spans="1:10" x14ac:dyDescent="0.25">
      <c r="A94" s="47"/>
      <c r="B94" s="47"/>
      <c r="C94" s="47"/>
      <c r="D94" s="47"/>
      <c r="E94" s="47"/>
      <c r="F94" s="47"/>
      <c r="G94" s="47"/>
      <c r="H94" s="47"/>
      <c r="I94" s="47"/>
      <c r="J94" s="47"/>
    </row>
    <row r="95" spans="1:10" x14ac:dyDescent="0.25">
      <c r="A95" s="121" t="s">
        <v>325</v>
      </c>
      <c r="B95" s="82"/>
      <c r="C95" s="82"/>
      <c r="D95" s="82"/>
      <c r="E95" s="82">
        <f>'5.Closing Stock &amp; W Capital'!F9</f>
        <v>155916.536391</v>
      </c>
      <c r="F95" s="82">
        <f>'5.Closing Stock &amp; W Capital'!G9</f>
        <v>196454.83585266001</v>
      </c>
      <c r="G95" s="82">
        <f>'5.Closing Stock &amp; W Capital'!H9</f>
        <v>240657.17391950847</v>
      </c>
      <c r="H95" s="82">
        <f>'5.Closing Stock &amp; W Capital'!I9</f>
        <v>288788.60870341025</v>
      </c>
      <c r="I95" s="82">
        <f>'5.Closing Stock &amp; W Capital'!J9</f>
        <v>341131.54403090331</v>
      </c>
      <c r="J95" s="82">
        <f>'5.Closing Stock &amp; W Capital'!K9</f>
        <v>397986.80136938719</v>
      </c>
    </row>
    <row r="96" spans="1:10" x14ac:dyDescent="0.25">
      <c r="A96" s="121" t="s">
        <v>326</v>
      </c>
      <c r="B96" s="82"/>
      <c r="C96" s="82"/>
      <c r="D96" s="82">
        <f>'5.Closing Stock &amp; W Capital'!E18</f>
        <v>155916.536391</v>
      </c>
      <c r="E96" s="82">
        <f>'5.Closing Stock &amp; W Capital'!F18</f>
        <v>196454.83585266001</v>
      </c>
      <c r="F96" s="82">
        <f>'5.Closing Stock &amp; W Capital'!G18</f>
        <v>240657.17391950847</v>
      </c>
      <c r="G96" s="82">
        <f>'5.Closing Stock &amp; W Capital'!H18</f>
        <v>288788.60870341025</v>
      </c>
      <c r="H96" s="82">
        <f>'5.Closing Stock &amp; W Capital'!I18</f>
        <v>341131.54403090331</v>
      </c>
      <c r="I96" s="82">
        <f>'5.Closing Stock &amp; W Capital'!J18</f>
        <v>397986.80136938719</v>
      </c>
      <c r="J96" s="82">
        <f>'5.Closing Stock &amp; W Capital'!K18</f>
        <v>459674.75558164227</v>
      </c>
    </row>
    <row r="97" spans="1:10" x14ac:dyDescent="0.25">
      <c r="A97" s="82"/>
      <c r="B97" s="82"/>
      <c r="C97" s="82"/>
      <c r="D97" s="82"/>
      <c r="E97" s="82"/>
      <c r="F97" s="82"/>
      <c r="G97" s="82"/>
      <c r="H97" s="82"/>
      <c r="I97" s="82"/>
      <c r="J97" s="82"/>
    </row>
    <row r="98" spans="1:10" x14ac:dyDescent="0.25">
      <c r="A98" s="84" t="s">
        <v>306</v>
      </c>
      <c r="B98" s="82"/>
      <c r="C98" s="82"/>
      <c r="D98" s="84">
        <f t="shared" ref="D98:J98" si="30">SUM(D84:D95)-D96</f>
        <v>2963692.7764289998</v>
      </c>
      <c r="E98" s="84">
        <f t="shared" si="30"/>
        <v>3890169.434691539</v>
      </c>
      <c r="F98" s="84">
        <f t="shared" si="30"/>
        <v>4770914.6362708211</v>
      </c>
      <c r="G98" s="84">
        <f t="shared" si="30"/>
        <v>5730008.9344213028</v>
      </c>
      <c r="H98" s="84">
        <f t="shared" si="30"/>
        <v>6773085.3757961541</v>
      </c>
      <c r="I98" s="84">
        <f t="shared" si="30"/>
        <v>7906144.4389724378</v>
      </c>
      <c r="J98" s="84">
        <f t="shared" si="30"/>
        <v>9135576.6950268615</v>
      </c>
    </row>
    <row r="100" spans="1:10" x14ac:dyDescent="0.25">
      <c r="A100" s="79" t="s">
        <v>293</v>
      </c>
      <c r="B100" s="79"/>
      <c r="C100" s="79"/>
      <c r="D100" s="84"/>
      <c r="E100" s="84"/>
      <c r="F100" s="84"/>
      <c r="G100" s="84"/>
      <c r="H100" s="84"/>
      <c r="I100" s="84"/>
      <c r="J100" s="84"/>
    </row>
    <row r="101" spans="1:10" x14ac:dyDescent="0.25">
      <c r="A101" s="47" t="s">
        <v>176</v>
      </c>
      <c r="B101" s="85">
        <v>1</v>
      </c>
      <c r="C101" s="97">
        <v>15000</v>
      </c>
      <c r="D101" s="82">
        <f t="shared" ref="D101:J101" si="31">$B$101*$C$101*12*D70</f>
        <v>180000</v>
      </c>
      <c r="E101" s="82">
        <f t="shared" si="31"/>
        <v>189000</v>
      </c>
      <c r="F101" s="82">
        <f t="shared" si="31"/>
        <v>198450</v>
      </c>
      <c r="G101" s="82">
        <f t="shared" si="31"/>
        <v>208372.50000000003</v>
      </c>
      <c r="H101" s="82">
        <f t="shared" si="31"/>
        <v>218791.12500000003</v>
      </c>
      <c r="I101" s="82">
        <f t="shared" si="31"/>
        <v>229730.68125000005</v>
      </c>
      <c r="J101" s="82">
        <f t="shared" si="31"/>
        <v>241217.21531250008</v>
      </c>
    </row>
    <row r="102" spans="1:10" x14ac:dyDescent="0.25">
      <c r="A102" s="47" t="s">
        <v>179</v>
      </c>
      <c r="B102" s="85">
        <v>1</v>
      </c>
      <c r="C102" s="97">
        <v>10000</v>
      </c>
      <c r="D102" s="82">
        <f t="shared" ref="D102:J102" si="32">$B$102*$C$102*12*D70</f>
        <v>120000</v>
      </c>
      <c r="E102" s="82">
        <f t="shared" si="32"/>
        <v>126000</v>
      </c>
      <c r="F102" s="82">
        <f t="shared" si="32"/>
        <v>132300</v>
      </c>
      <c r="G102" s="82">
        <f t="shared" si="32"/>
        <v>138915.00000000003</v>
      </c>
      <c r="H102" s="82">
        <f t="shared" si="32"/>
        <v>145860.75000000003</v>
      </c>
      <c r="I102" s="82">
        <f t="shared" si="32"/>
        <v>153153.78750000003</v>
      </c>
      <c r="J102" s="82">
        <f t="shared" si="32"/>
        <v>160811.47687500005</v>
      </c>
    </row>
    <row r="103" spans="1:10" ht="14.45" hidden="1" x14ac:dyDescent="0.35">
      <c r="A103" s="47"/>
      <c r="B103" s="85"/>
      <c r="C103" s="97"/>
      <c r="D103" s="82"/>
      <c r="E103" s="82"/>
      <c r="F103" s="82"/>
      <c r="G103" s="82"/>
      <c r="H103" s="82"/>
      <c r="I103" s="82"/>
      <c r="J103" s="82"/>
    </row>
    <row r="104" spans="1:10" ht="14.45" hidden="1" x14ac:dyDescent="0.35">
      <c r="A104" s="47"/>
      <c r="B104" s="85"/>
      <c r="C104" s="97"/>
      <c r="D104" s="82"/>
      <c r="E104" s="82"/>
      <c r="F104" s="82"/>
      <c r="G104" s="82"/>
      <c r="H104" s="82"/>
      <c r="I104" s="82"/>
      <c r="J104" s="82"/>
    </row>
    <row r="105" spans="1:10" ht="14.45" hidden="1" x14ac:dyDescent="0.35">
      <c r="A105" s="47"/>
      <c r="B105" s="85"/>
      <c r="C105" s="97"/>
      <c r="D105" s="82"/>
      <c r="E105" s="82"/>
      <c r="F105" s="82"/>
      <c r="G105" s="82"/>
      <c r="H105" s="82"/>
      <c r="I105" s="82"/>
      <c r="J105" s="82"/>
    </row>
    <row r="106" spans="1:10" x14ac:dyDescent="0.25">
      <c r="A106" s="78" t="s">
        <v>293</v>
      </c>
      <c r="B106" s="78"/>
      <c r="C106" s="78"/>
      <c r="D106" s="84">
        <f>SUM(D101:D105)</f>
        <v>300000</v>
      </c>
      <c r="E106" s="84">
        <f t="shared" ref="E106:J106" si="33">SUM(E101:E105)</f>
        <v>315000</v>
      </c>
      <c r="F106" s="84">
        <f t="shared" si="33"/>
        <v>330750</v>
      </c>
      <c r="G106" s="84">
        <f t="shared" si="33"/>
        <v>347287.50000000006</v>
      </c>
      <c r="H106" s="84">
        <f t="shared" si="33"/>
        <v>364651.87500000006</v>
      </c>
      <c r="I106" s="84">
        <f t="shared" si="33"/>
        <v>382884.46875000012</v>
      </c>
      <c r="J106" s="84">
        <f t="shared" si="33"/>
        <v>402028.69218750013</v>
      </c>
    </row>
    <row r="107" spans="1:10" x14ac:dyDescent="0.25">
      <c r="A107" s="79" t="s">
        <v>282</v>
      </c>
      <c r="B107" s="79"/>
      <c r="C107" s="79"/>
      <c r="D107" s="84">
        <f>D98+D106</f>
        <v>3263692.7764289998</v>
      </c>
      <c r="E107" s="84">
        <f t="shared" ref="E107:J107" si="34">E98+E106</f>
        <v>4205169.434691539</v>
      </c>
      <c r="F107" s="84">
        <f t="shared" si="34"/>
        <v>5101664.6362708211</v>
      </c>
      <c r="G107" s="84">
        <f t="shared" si="34"/>
        <v>6077296.4344213028</v>
      </c>
      <c r="H107" s="84">
        <f t="shared" si="34"/>
        <v>7137737.2507961541</v>
      </c>
      <c r="I107" s="84">
        <f t="shared" si="34"/>
        <v>8289028.9077224378</v>
      </c>
      <c r="J107" s="84">
        <f t="shared" si="34"/>
        <v>9537605.3872143608</v>
      </c>
    </row>
    <row r="108" spans="1:10" x14ac:dyDescent="0.25">
      <c r="A108" s="47"/>
      <c r="B108" s="47"/>
      <c r="C108" s="47"/>
      <c r="D108" s="82"/>
      <c r="E108" s="82"/>
      <c r="F108" s="82"/>
      <c r="G108" s="82"/>
      <c r="H108" s="82"/>
      <c r="I108" s="82"/>
      <c r="J108" s="82"/>
    </row>
    <row r="109" spans="1:10" x14ac:dyDescent="0.25">
      <c r="A109" s="78" t="s">
        <v>7</v>
      </c>
      <c r="B109" s="78"/>
      <c r="C109" s="78"/>
      <c r="D109" s="84">
        <f>D80-D107</f>
        <v>307395.12857099995</v>
      </c>
      <c r="E109" s="84">
        <f t="shared" ref="E109:J109" si="35">E80-E107</f>
        <v>491750.9203584604</v>
      </c>
      <c r="F109" s="84">
        <f t="shared" si="35"/>
        <v>658970.03448167816</v>
      </c>
      <c r="G109" s="84">
        <f t="shared" si="35"/>
        <v>841681.68271632213</v>
      </c>
      <c r="H109" s="84">
        <f t="shared" si="35"/>
        <v>1041017.0706882263</v>
      </c>
      <c r="I109" s="84">
        <f t="shared" si="35"/>
        <v>1258181.7932505291</v>
      </c>
      <c r="J109" s="84">
        <f t="shared" si="35"/>
        <v>1494460.4453923441</v>
      </c>
    </row>
    <row r="110" spans="1:10" x14ac:dyDescent="0.25">
      <c r="A110" s="110"/>
      <c r="B110" s="110"/>
      <c r="C110" s="110"/>
    </row>
    <row r="111" spans="1:10" x14ac:dyDescent="0.25">
      <c r="D111" s="100">
        <f>D109/D80</f>
        <v>8.6078846768405146E-2</v>
      </c>
      <c r="E111" s="100">
        <f t="shared" ref="E111:J111" si="36">E109/E80</f>
        <v>0.10469645707952943</v>
      </c>
      <c r="F111" s="100">
        <f t="shared" si="36"/>
        <v>0.11439191549975487</v>
      </c>
      <c r="G111" s="100">
        <f t="shared" si="36"/>
        <v>0.1216482648834457</v>
      </c>
      <c r="H111" s="100">
        <f t="shared" si="36"/>
        <v>0.12728308367860225</v>
      </c>
      <c r="I111" s="100">
        <f t="shared" si="36"/>
        <v>0.13178527558025993</v>
      </c>
      <c r="J111" s="100">
        <f t="shared" si="36"/>
        <v>0.13546514932636389</v>
      </c>
    </row>
    <row r="113" spans="1:10" x14ac:dyDescent="0.25">
      <c r="A113" s="427" t="s">
        <v>398</v>
      </c>
      <c r="B113" s="427"/>
      <c r="C113" s="427"/>
      <c r="D113" s="427"/>
      <c r="E113" s="427"/>
      <c r="F113" s="427"/>
      <c r="G113" s="427"/>
      <c r="H113" s="427"/>
      <c r="I113" s="427"/>
      <c r="J113" s="427"/>
    </row>
    <row r="115" spans="1:10" x14ac:dyDescent="0.25">
      <c r="A115" s="39" t="s">
        <v>491</v>
      </c>
    </row>
    <row r="116" spans="1:10" x14ac:dyDescent="0.25">
      <c r="A116" s="39">
        <v>1</v>
      </c>
      <c r="B116" s="39" t="s">
        <v>504</v>
      </c>
    </row>
    <row r="117" spans="1:10" x14ac:dyDescent="0.25">
      <c r="A117" s="39">
        <v>2</v>
      </c>
      <c r="B117" s="39" t="s">
        <v>505</v>
      </c>
      <c r="C117" s="122"/>
      <c r="D117" s="122"/>
      <c r="E117" s="122"/>
    </row>
    <row r="118" spans="1:10" x14ac:dyDescent="0.25">
      <c r="A118" s="39">
        <v>3</v>
      </c>
      <c r="B118" s="39" t="s">
        <v>554</v>
      </c>
    </row>
  </sheetData>
  <mergeCells count="4">
    <mergeCell ref="A3:H3"/>
    <mergeCell ref="A68:J68"/>
    <mergeCell ref="A113:J113"/>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5"/>
  <sheetViews>
    <sheetView workbookViewId="0">
      <selection activeCell="I11" activeCellId="1" sqref="C11 I11"/>
    </sheetView>
  </sheetViews>
  <sheetFormatPr defaultColWidth="8.7109375" defaultRowHeight="15" x14ac:dyDescent="0.25"/>
  <cols>
    <col min="1" max="1" width="41.140625" style="39" bestFit="1" customWidth="1"/>
    <col min="2" max="2" width="7.5703125" style="39" bestFit="1" customWidth="1"/>
    <col min="3" max="3" width="12" style="39" bestFit="1" customWidth="1"/>
    <col min="4" max="4" width="14.140625" style="39" bestFit="1" customWidth="1"/>
    <col min="5" max="5" width="19.42578125" style="39" bestFit="1" customWidth="1"/>
    <col min="6" max="6" width="14.7109375" style="39" customWidth="1"/>
    <col min="7" max="10" width="14.7109375" style="39" bestFit="1" customWidth="1"/>
    <col min="11" max="11" width="8.7109375" style="39"/>
    <col min="12" max="12" width="27.140625" style="39" bestFit="1" customWidth="1"/>
    <col min="13" max="17" width="8.7109375" style="39"/>
    <col min="18" max="20" width="9.42578125" style="39" bestFit="1" customWidth="1"/>
    <col min="21" max="21" width="8.7109375" style="39"/>
    <col min="22" max="22" width="9.42578125" style="39" bestFit="1" customWidth="1"/>
    <col min="23" max="16384" width="8.7109375" style="39"/>
  </cols>
  <sheetData>
    <row r="2" spans="1:9" ht="14.45" x14ac:dyDescent="0.35">
      <c r="A2" s="427" t="str">
        <f>'6.Cons Profit &amp; Loss'!A12</f>
        <v>Facility 5 - Atta Chakki</v>
      </c>
      <c r="B2" s="427"/>
      <c r="C2" s="427"/>
      <c r="D2" s="427"/>
      <c r="E2" s="427"/>
      <c r="F2" s="427"/>
      <c r="G2" s="427"/>
      <c r="H2" s="427"/>
      <c r="I2" s="427"/>
    </row>
    <row r="3" spans="1:9" ht="14.45" x14ac:dyDescent="0.35">
      <c r="A3" s="427" t="s">
        <v>550</v>
      </c>
      <c r="B3" s="427"/>
      <c r="C3" s="427"/>
      <c r="D3" s="427"/>
      <c r="E3" s="427"/>
      <c r="F3" s="427"/>
      <c r="G3" s="427"/>
      <c r="H3" s="427"/>
    </row>
    <row r="4" spans="1:9" ht="14.45" x14ac:dyDescent="0.35">
      <c r="A4" s="39" t="s">
        <v>159</v>
      </c>
      <c r="B4" s="101">
        <v>5</v>
      </c>
      <c r="C4" s="39" t="s">
        <v>444</v>
      </c>
    </row>
    <row r="5" spans="1:9" ht="14.45" x14ac:dyDescent="0.35">
      <c r="A5" s="39" t="s">
        <v>160</v>
      </c>
      <c r="B5" s="102">
        <v>8</v>
      </c>
    </row>
    <row r="6" spans="1:9" ht="14.45" x14ac:dyDescent="0.35">
      <c r="B6" s="102"/>
    </row>
    <row r="7" spans="1:9" ht="14.45" x14ac:dyDescent="0.35">
      <c r="B7" s="102"/>
    </row>
    <row r="10" spans="1:9" ht="14.45" x14ac:dyDescent="0.35">
      <c r="A10" s="76" t="s">
        <v>127</v>
      </c>
      <c r="B10" s="76"/>
      <c r="C10" s="77" t="s">
        <v>2</v>
      </c>
      <c r="D10" s="77" t="s">
        <v>3</v>
      </c>
      <c r="E10" s="77" t="s">
        <v>4</v>
      </c>
      <c r="F10" s="77" t="s">
        <v>5</v>
      </c>
      <c r="G10" s="77" t="s">
        <v>6</v>
      </c>
      <c r="H10" s="77" t="s">
        <v>166</v>
      </c>
      <c r="I10" s="77" t="s">
        <v>165</v>
      </c>
    </row>
    <row r="11" spans="1:9" ht="14.45" x14ac:dyDescent="0.35">
      <c r="A11" s="47" t="s">
        <v>167</v>
      </c>
      <c r="B11" s="70"/>
      <c r="C11" s="103">
        <f>C63/($B$5*$B$4)</f>
        <v>116.62</v>
      </c>
      <c r="D11" s="103">
        <f t="shared" ref="D11:I11" si="0">D63/($B$5*$B$4)</f>
        <v>139.94400000000002</v>
      </c>
      <c r="E11" s="103">
        <f t="shared" si="0"/>
        <v>163.268</v>
      </c>
      <c r="F11" s="103">
        <f t="shared" si="0"/>
        <v>186.59199999999998</v>
      </c>
      <c r="G11" s="103">
        <f t="shared" si="0"/>
        <v>209.916</v>
      </c>
      <c r="H11" s="103">
        <f t="shared" si="0"/>
        <v>233.23999999999995</v>
      </c>
      <c r="I11" s="103">
        <f t="shared" si="0"/>
        <v>256.56399999999996</v>
      </c>
    </row>
    <row r="12" spans="1:9" ht="14.45" x14ac:dyDescent="0.35">
      <c r="A12" s="83" t="s">
        <v>174</v>
      </c>
      <c r="B12" s="104"/>
      <c r="C12" s="105"/>
      <c r="D12" s="105"/>
      <c r="E12" s="105"/>
      <c r="F12" s="105"/>
      <c r="G12" s="105"/>
      <c r="H12" s="105"/>
      <c r="I12" s="105"/>
    </row>
    <row r="13" spans="1:9" ht="14.45" hidden="1" x14ac:dyDescent="0.35">
      <c r="A13" s="70" t="str">
        <f>'10.Grain Production details'!A92</f>
        <v>Maize</v>
      </c>
      <c r="B13" s="104"/>
      <c r="C13" s="105"/>
      <c r="D13" s="105"/>
      <c r="E13" s="105"/>
      <c r="F13" s="105"/>
      <c r="G13" s="105"/>
      <c r="H13" s="105"/>
      <c r="I13" s="105"/>
    </row>
    <row r="14" spans="1:9" ht="14.45" hidden="1" x14ac:dyDescent="0.35">
      <c r="A14" s="70" t="str">
        <f>'10.Grain Production details'!A93</f>
        <v>Red Gram/Tur</v>
      </c>
      <c r="B14" s="104"/>
      <c r="C14" s="105"/>
      <c r="D14" s="105"/>
      <c r="E14" s="105"/>
      <c r="F14" s="105"/>
      <c r="G14" s="105"/>
      <c r="H14" s="105"/>
      <c r="I14" s="105"/>
    </row>
    <row r="15" spans="1:9" ht="14.45" x14ac:dyDescent="0.35">
      <c r="A15" s="70" t="str">
        <f>'10.Grain Production details'!A94</f>
        <v>Bajra</v>
      </c>
      <c r="B15" s="104"/>
      <c r="C15" s="105">
        <f>'10.Grain Production details'!B44</f>
        <v>1372</v>
      </c>
      <c r="D15" s="105">
        <f>'10.Grain Production details'!C44</f>
        <v>1646.3999999999999</v>
      </c>
      <c r="E15" s="105">
        <f>'10.Grain Production details'!D44</f>
        <v>1920.8</v>
      </c>
      <c r="F15" s="105">
        <f>'10.Grain Production details'!E44</f>
        <v>2195.1999999999998</v>
      </c>
      <c r="G15" s="105">
        <f>'10.Grain Production details'!F44</f>
        <v>2469.6</v>
      </c>
      <c r="H15" s="105">
        <f>'10.Grain Production details'!G44</f>
        <v>2743.9999999999995</v>
      </c>
      <c r="I15" s="105">
        <f>'10.Grain Production details'!H44</f>
        <v>3018.3999999999996</v>
      </c>
    </row>
    <row r="16" spans="1:9" ht="14.45" hidden="1" x14ac:dyDescent="0.35">
      <c r="A16" s="70">
        <f>'10.Grain Production details'!A95</f>
        <v>0</v>
      </c>
      <c r="B16" s="104"/>
      <c r="C16" s="105">
        <f>'10.Grain Production details'!B45</f>
        <v>0</v>
      </c>
      <c r="D16" s="105">
        <f>'10.Grain Production details'!C45</f>
        <v>0</v>
      </c>
      <c r="E16" s="105">
        <f>'10.Grain Production details'!D45</f>
        <v>0</v>
      </c>
      <c r="F16" s="105">
        <f>'10.Grain Production details'!E45</f>
        <v>0</v>
      </c>
      <c r="G16" s="105">
        <f>'10.Grain Production details'!F45</f>
        <v>0</v>
      </c>
      <c r="H16" s="105">
        <f>'10.Grain Production details'!G45</f>
        <v>0</v>
      </c>
      <c r="I16" s="105">
        <f>'10.Grain Production details'!H45</f>
        <v>0</v>
      </c>
    </row>
    <row r="17" spans="1:9" ht="14.45" hidden="1" x14ac:dyDescent="0.35">
      <c r="A17" s="70">
        <f>'10.Grain Production details'!A96</f>
        <v>0</v>
      </c>
      <c r="B17" s="104"/>
      <c r="C17" s="105">
        <f>'10.Grain Production details'!B46</f>
        <v>0</v>
      </c>
      <c r="D17" s="105">
        <f>'10.Grain Production details'!C46</f>
        <v>0</v>
      </c>
      <c r="E17" s="105">
        <f>'10.Grain Production details'!D46</f>
        <v>0</v>
      </c>
      <c r="F17" s="105">
        <f>'10.Grain Production details'!E46</f>
        <v>0</v>
      </c>
      <c r="G17" s="105">
        <f>'10.Grain Production details'!F46</f>
        <v>0</v>
      </c>
      <c r="H17" s="105">
        <f>'10.Grain Production details'!G46</f>
        <v>0</v>
      </c>
      <c r="I17" s="105">
        <f>'10.Grain Production details'!H46</f>
        <v>0</v>
      </c>
    </row>
    <row r="18" spans="1:9" ht="14.45" hidden="1" x14ac:dyDescent="0.35">
      <c r="A18" s="70">
        <f>'10.Grain Production details'!A97</f>
        <v>0</v>
      </c>
      <c r="B18" s="104"/>
      <c r="C18" s="105">
        <f>'10.Grain Production details'!B47</f>
        <v>0</v>
      </c>
      <c r="D18" s="105">
        <f>'10.Grain Production details'!C47</f>
        <v>0</v>
      </c>
      <c r="E18" s="105">
        <f>'10.Grain Production details'!D47</f>
        <v>0</v>
      </c>
      <c r="F18" s="105">
        <f>'10.Grain Production details'!E47</f>
        <v>0</v>
      </c>
      <c r="G18" s="105">
        <f>'10.Grain Production details'!F47</f>
        <v>0</v>
      </c>
      <c r="H18" s="105">
        <f>'10.Grain Production details'!G47</f>
        <v>0</v>
      </c>
      <c r="I18" s="105">
        <f>'10.Grain Production details'!H47</f>
        <v>0</v>
      </c>
    </row>
    <row r="19" spans="1:9" ht="14.45" hidden="1" x14ac:dyDescent="0.35">
      <c r="A19" s="70">
        <f>'10.Grain Production details'!A98</f>
        <v>0</v>
      </c>
      <c r="B19" s="104"/>
      <c r="C19" s="105">
        <f>'10.Grain Production details'!B48</f>
        <v>0</v>
      </c>
      <c r="D19" s="105">
        <f>'10.Grain Production details'!C48</f>
        <v>0</v>
      </c>
      <c r="E19" s="105">
        <f>'10.Grain Production details'!D48</f>
        <v>0</v>
      </c>
      <c r="F19" s="105">
        <f>'10.Grain Production details'!E48</f>
        <v>0</v>
      </c>
      <c r="G19" s="105">
        <f>'10.Grain Production details'!F48</f>
        <v>0</v>
      </c>
      <c r="H19" s="105">
        <f>'10.Grain Production details'!G48</f>
        <v>0</v>
      </c>
      <c r="I19" s="105">
        <f>'10.Grain Production details'!H48</f>
        <v>0</v>
      </c>
    </row>
    <row r="20" spans="1:9" ht="14.45" hidden="1" x14ac:dyDescent="0.35">
      <c r="A20" s="70">
        <f>'10.Grain Production details'!A99</f>
        <v>0</v>
      </c>
      <c r="B20" s="104"/>
      <c r="C20" s="105">
        <f>'10.Grain Production details'!B49</f>
        <v>0</v>
      </c>
      <c r="D20" s="105">
        <f>'10.Grain Production details'!C49</f>
        <v>0</v>
      </c>
      <c r="E20" s="105">
        <f>'10.Grain Production details'!D49</f>
        <v>0</v>
      </c>
      <c r="F20" s="105">
        <f>'10.Grain Production details'!E49</f>
        <v>0</v>
      </c>
      <c r="G20" s="105">
        <f>'10.Grain Production details'!F49</f>
        <v>0</v>
      </c>
      <c r="H20" s="105">
        <f>'10.Grain Production details'!G49</f>
        <v>0</v>
      </c>
      <c r="I20" s="105">
        <f>'10.Grain Production details'!H49</f>
        <v>0</v>
      </c>
    </row>
    <row r="21" spans="1:9" ht="14.45" x14ac:dyDescent="0.35">
      <c r="A21" s="83" t="s">
        <v>175</v>
      </c>
      <c r="B21" s="104"/>
      <c r="C21" s="105">
        <f>'10.Grain Production details'!B50</f>
        <v>0</v>
      </c>
      <c r="D21" s="105">
        <f>'10.Grain Production details'!C50</f>
        <v>0</v>
      </c>
      <c r="E21" s="105">
        <f>'10.Grain Production details'!D50</f>
        <v>0</v>
      </c>
      <c r="F21" s="105">
        <f>'10.Grain Production details'!E50</f>
        <v>0</v>
      </c>
      <c r="G21" s="105">
        <f>'10.Grain Production details'!F50</f>
        <v>0</v>
      </c>
      <c r="H21" s="105">
        <f>'10.Grain Production details'!G50</f>
        <v>0</v>
      </c>
      <c r="I21" s="105">
        <f>'10.Grain Production details'!H50</f>
        <v>0</v>
      </c>
    </row>
    <row r="22" spans="1:9" ht="14.45" x14ac:dyDescent="0.35">
      <c r="A22" s="70" t="str">
        <f>'10.Grain Production details'!A101</f>
        <v>Wheat</v>
      </c>
      <c r="B22" s="104"/>
      <c r="C22" s="105">
        <f>'10.Grain Production details'!B51</f>
        <v>1646.4</v>
      </c>
      <c r="D22" s="105">
        <f>'10.Grain Production details'!C51</f>
        <v>1975.68</v>
      </c>
      <c r="E22" s="105">
        <f>'10.Grain Production details'!D51</f>
        <v>2304.96</v>
      </c>
      <c r="F22" s="105">
        <f>'10.Grain Production details'!E51</f>
        <v>2634.24</v>
      </c>
      <c r="G22" s="105">
        <f>'10.Grain Production details'!F51</f>
        <v>2963.52</v>
      </c>
      <c r="H22" s="105">
        <f>'10.Grain Production details'!G51</f>
        <v>3292.7999999999997</v>
      </c>
      <c r="I22" s="105">
        <f>'10.Grain Production details'!H51</f>
        <v>3622.08</v>
      </c>
    </row>
    <row r="23" spans="1:9" ht="14.45" hidden="1" x14ac:dyDescent="0.35">
      <c r="A23" s="70" t="str">
        <f>'10.Grain Production details'!A102</f>
        <v>Bengal Gram/Channa</v>
      </c>
      <c r="B23" s="104"/>
      <c r="C23" s="105"/>
      <c r="D23" s="105"/>
      <c r="E23" s="105"/>
      <c r="F23" s="105"/>
      <c r="G23" s="105"/>
      <c r="H23" s="105"/>
      <c r="I23" s="105"/>
    </row>
    <row r="24" spans="1:9" ht="14.45" x14ac:dyDescent="0.35">
      <c r="A24" s="70" t="str">
        <f>'10.Grain Production details'!A103</f>
        <v>Jawar</v>
      </c>
      <c r="B24" s="104"/>
      <c r="C24" s="105">
        <f>'10.Grain Production details'!B53</f>
        <v>1646.4</v>
      </c>
      <c r="D24" s="105">
        <f>'10.Grain Production details'!C53</f>
        <v>1975.68</v>
      </c>
      <c r="E24" s="105">
        <f>'10.Grain Production details'!D53</f>
        <v>2304.96</v>
      </c>
      <c r="F24" s="105">
        <f>'10.Grain Production details'!E53</f>
        <v>2634.24</v>
      </c>
      <c r="G24" s="105">
        <f>'10.Grain Production details'!F53</f>
        <v>2963.52</v>
      </c>
      <c r="H24" s="105">
        <f>'10.Grain Production details'!G53</f>
        <v>3292.7999999999997</v>
      </c>
      <c r="I24" s="105">
        <f>'10.Grain Production details'!H53</f>
        <v>3622.08</v>
      </c>
    </row>
    <row r="25" spans="1:9" ht="14.45" hidden="1" x14ac:dyDescent="0.35">
      <c r="A25" s="70" t="str">
        <f>'10.Grain Production details'!A104</f>
        <v>Maize</v>
      </c>
      <c r="B25" s="104"/>
      <c r="C25" s="105"/>
      <c r="D25" s="105"/>
      <c r="E25" s="105"/>
      <c r="F25" s="105"/>
      <c r="G25" s="105"/>
      <c r="H25" s="105"/>
      <c r="I25" s="105"/>
    </row>
    <row r="26" spans="1:9" ht="14.45" hidden="1" x14ac:dyDescent="0.35">
      <c r="A26" s="70">
        <f>'10.Grain Production details'!A105</f>
        <v>0</v>
      </c>
      <c r="B26" s="104"/>
      <c r="C26" s="105">
        <f>'10.Grain Production details'!B55</f>
        <v>0</v>
      </c>
      <c r="D26" s="105">
        <f>'10.Grain Production details'!C55</f>
        <v>0</v>
      </c>
      <c r="E26" s="105">
        <f>'10.Grain Production details'!D55</f>
        <v>0</v>
      </c>
      <c r="F26" s="105">
        <f>'10.Grain Production details'!E55</f>
        <v>0</v>
      </c>
      <c r="G26" s="105">
        <f>'10.Grain Production details'!F55</f>
        <v>0</v>
      </c>
      <c r="H26" s="105">
        <f>'10.Grain Production details'!G55</f>
        <v>0</v>
      </c>
      <c r="I26" s="105">
        <f>'10.Grain Production details'!H55</f>
        <v>0</v>
      </c>
    </row>
    <row r="27" spans="1:9" ht="14.45" hidden="1" x14ac:dyDescent="0.35">
      <c r="A27" s="70">
        <f>'10.Grain Production details'!A106</f>
        <v>0</v>
      </c>
      <c r="B27" s="104"/>
      <c r="C27" s="105">
        <f>'10.Grain Production details'!B56</f>
        <v>0</v>
      </c>
      <c r="D27" s="105">
        <f>'10.Grain Production details'!C56</f>
        <v>0</v>
      </c>
      <c r="E27" s="105">
        <f>'10.Grain Production details'!D56</f>
        <v>0</v>
      </c>
      <c r="F27" s="105">
        <f>'10.Grain Production details'!E56</f>
        <v>0</v>
      </c>
      <c r="G27" s="105">
        <f>'10.Grain Production details'!F56</f>
        <v>0</v>
      </c>
      <c r="H27" s="105">
        <f>'10.Grain Production details'!G56</f>
        <v>0</v>
      </c>
      <c r="I27" s="105">
        <f>'10.Grain Production details'!H56</f>
        <v>0</v>
      </c>
    </row>
    <row r="28" spans="1:9" ht="14.45" hidden="1" x14ac:dyDescent="0.35">
      <c r="A28" s="70">
        <f>'10.Grain Production details'!A107</f>
        <v>0</v>
      </c>
      <c r="B28" s="104"/>
      <c r="C28" s="105">
        <f>'10.Grain Production details'!B57</f>
        <v>0</v>
      </c>
      <c r="D28" s="105">
        <f>'10.Grain Production details'!C57</f>
        <v>0</v>
      </c>
      <c r="E28" s="105">
        <f>'10.Grain Production details'!D57</f>
        <v>0</v>
      </c>
      <c r="F28" s="105">
        <f>'10.Grain Production details'!E57</f>
        <v>0</v>
      </c>
      <c r="G28" s="105">
        <f>'10.Grain Production details'!F57</f>
        <v>0</v>
      </c>
      <c r="H28" s="105">
        <f>'10.Grain Production details'!G57</f>
        <v>0</v>
      </c>
      <c r="I28" s="105">
        <f>'10.Grain Production details'!H57</f>
        <v>0</v>
      </c>
    </row>
    <row r="29" spans="1:9" ht="14.45" hidden="1" x14ac:dyDescent="0.35">
      <c r="A29" s="70">
        <f>'10.Grain Production details'!A108</f>
        <v>0</v>
      </c>
      <c r="B29" s="104"/>
      <c r="C29" s="105">
        <f>'10.Grain Production details'!B58</f>
        <v>0</v>
      </c>
      <c r="D29" s="105">
        <f>'10.Grain Production details'!C58</f>
        <v>0</v>
      </c>
      <c r="E29" s="105">
        <f>'10.Grain Production details'!D58</f>
        <v>0</v>
      </c>
      <c r="F29" s="105">
        <f>'10.Grain Production details'!E58</f>
        <v>0</v>
      </c>
      <c r="G29" s="105">
        <f>'10.Grain Production details'!F58</f>
        <v>0</v>
      </c>
      <c r="H29" s="105">
        <f>'10.Grain Production details'!G58</f>
        <v>0</v>
      </c>
      <c r="I29" s="105">
        <f>'10.Grain Production details'!H58</f>
        <v>0</v>
      </c>
    </row>
    <row r="30" spans="1:9" ht="14.45" hidden="1" x14ac:dyDescent="0.35">
      <c r="A30" s="83" t="str">
        <f>'10.Grain Production details'!A33</f>
        <v>Summer</v>
      </c>
      <c r="B30" s="104"/>
      <c r="C30" s="105">
        <f>'10.Grain Production details'!B59</f>
        <v>0</v>
      </c>
      <c r="D30" s="105">
        <f>'10.Grain Production details'!C59</f>
        <v>0</v>
      </c>
      <c r="E30" s="105">
        <f>'10.Grain Production details'!D59</f>
        <v>0</v>
      </c>
      <c r="F30" s="105">
        <f>'10.Grain Production details'!E59</f>
        <v>0</v>
      </c>
      <c r="G30" s="105">
        <f>'10.Grain Production details'!F59</f>
        <v>0</v>
      </c>
      <c r="H30" s="105">
        <f>'10.Grain Production details'!G59</f>
        <v>0</v>
      </c>
      <c r="I30" s="105">
        <f>'10.Grain Production details'!H59</f>
        <v>0</v>
      </c>
    </row>
    <row r="31" spans="1:9" ht="14.45" hidden="1" x14ac:dyDescent="0.35">
      <c r="A31" s="70">
        <f>'10.Grain Production details'!A109</f>
        <v>0</v>
      </c>
      <c r="B31" s="104"/>
      <c r="C31" s="105">
        <f>'10.Grain Production details'!B60</f>
        <v>0</v>
      </c>
      <c r="D31" s="105">
        <f>'10.Grain Production details'!C60</f>
        <v>0</v>
      </c>
      <c r="E31" s="105">
        <f>'10.Grain Production details'!D60</f>
        <v>0</v>
      </c>
      <c r="F31" s="105">
        <f>'10.Grain Production details'!E60</f>
        <v>0</v>
      </c>
      <c r="G31" s="105">
        <f>'10.Grain Production details'!F60</f>
        <v>0</v>
      </c>
      <c r="H31" s="105">
        <f>'10.Grain Production details'!G60</f>
        <v>0</v>
      </c>
      <c r="I31" s="105">
        <f>'10.Grain Production details'!H60</f>
        <v>0</v>
      </c>
    </row>
    <row r="32" spans="1:9" ht="14.45" hidden="1" x14ac:dyDescent="0.35">
      <c r="A32" s="70">
        <f>'10.Grain Production details'!A110</f>
        <v>0</v>
      </c>
      <c r="B32" s="104"/>
      <c r="C32" s="105">
        <f>'10.Grain Production details'!B61</f>
        <v>0</v>
      </c>
      <c r="D32" s="105">
        <f>'10.Grain Production details'!C61</f>
        <v>0</v>
      </c>
      <c r="E32" s="105">
        <f>'10.Grain Production details'!D61</f>
        <v>0</v>
      </c>
      <c r="F32" s="105">
        <f>'10.Grain Production details'!E61</f>
        <v>0</v>
      </c>
      <c r="G32" s="105">
        <f>'10.Grain Production details'!F61</f>
        <v>0</v>
      </c>
      <c r="H32" s="105">
        <f>'10.Grain Production details'!G61</f>
        <v>0</v>
      </c>
      <c r="I32" s="105">
        <f>'10.Grain Production details'!H61</f>
        <v>0</v>
      </c>
    </row>
    <row r="33" spans="1:9" ht="14.45" hidden="1" x14ac:dyDescent="0.35">
      <c r="A33" s="70">
        <f>'10.Grain Production details'!A111</f>
        <v>0</v>
      </c>
      <c r="B33" s="104"/>
      <c r="C33" s="105">
        <f>'10.Grain Production details'!B62</f>
        <v>0</v>
      </c>
      <c r="D33" s="105">
        <f>'10.Grain Production details'!C62</f>
        <v>0</v>
      </c>
      <c r="E33" s="105">
        <f>'10.Grain Production details'!D62</f>
        <v>0</v>
      </c>
      <c r="F33" s="105">
        <f>'10.Grain Production details'!E62</f>
        <v>0</v>
      </c>
      <c r="G33" s="105">
        <f>'10.Grain Production details'!F62</f>
        <v>0</v>
      </c>
      <c r="H33" s="105">
        <f>'10.Grain Production details'!G62</f>
        <v>0</v>
      </c>
      <c r="I33" s="105">
        <f>'10.Grain Production details'!H62</f>
        <v>0</v>
      </c>
    </row>
    <row r="34" spans="1:9" ht="14.45" hidden="1" x14ac:dyDescent="0.35">
      <c r="A34" s="70">
        <f>'10.Grain Production details'!A112</f>
        <v>0</v>
      </c>
      <c r="B34" s="104"/>
      <c r="C34" s="105">
        <f>'10.Grain Production details'!B63</f>
        <v>0</v>
      </c>
      <c r="D34" s="105">
        <f>'10.Grain Production details'!C63</f>
        <v>0</v>
      </c>
      <c r="E34" s="105">
        <f>'10.Grain Production details'!D63</f>
        <v>0</v>
      </c>
      <c r="F34" s="105">
        <f>'10.Grain Production details'!E63</f>
        <v>0</v>
      </c>
      <c r="G34" s="105">
        <f>'10.Grain Production details'!F63</f>
        <v>0</v>
      </c>
      <c r="H34" s="105">
        <f>'10.Grain Production details'!G63</f>
        <v>0</v>
      </c>
      <c r="I34" s="105">
        <f>'10.Grain Production details'!H63</f>
        <v>0</v>
      </c>
    </row>
    <row r="35" spans="1:9" ht="14.45" hidden="1" x14ac:dyDescent="0.35">
      <c r="A35" s="70">
        <f>'10.Grain Production details'!A113</f>
        <v>0</v>
      </c>
      <c r="B35" s="104"/>
      <c r="C35" s="105">
        <f>'10.Grain Production details'!B64</f>
        <v>0</v>
      </c>
      <c r="D35" s="105">
        <f>'10.Grain Production details'!C64</f>
        <v>0</v>
      </c>
      <c r="E35" s="105">
        <f>'10.Grain Production details'!D64</f>
        <v>0</v>
      </c>
      <c r="F35" s="105">
        <f>'10.Grain Production details'!E64</f>
        <v>0</v>
      </c>
      <c r="G35" s="105">
        <f>'10.Grain Production details'!F64</f>
        <v>0</v>
      </c>
      <c r="H35" s="105">
        <f>'10.Grain Production details'!G64</f>
        <v>0</v>
      </c>
      <c r="I35" s="105">
        <f>'10.Grain Production details'!H64</f>
        <v>0</v>
      </c>
    </row>
    <row r="36" spans="1:9" ht="14.45" hidden="1" x14ac:dyDescent="0.35">
      <c r="A36" s="83" t="str">
        <f>'11.F&amp;V Crop Production details'!A1:H1</f>
        <v>Fruit  &amp; Vegetables Crop Production Details</v>
      </c>
      <c r="B36" s="104"/>
      <c r="C36" s="105"/>
      <c r="D36" s="105"/>
      <c r="E36" s="105"/>
      <c r="F36" s="105"/>
      <c r="G36" s="105"/>
      <c r="H36" s="105"/>
      <c r="I36" s="105"/>
    </row>
    <row r="37" spans="1:9" ht="14.45" hidden="1" x14ac:dyDescent="0.35">
      <c r="A37" s="70" t="str">
        <f>'11.F&amp;V Crop Production details'!A102</f>
        <v>Onion</v>
      </c>
      <c r="B37" s="104"/>
      <c r="C37" s="105">
        <f>'11.F&amp;V Crop Production details'!B102</f>
        <v>0</v>
      </c>
      <c r="D37" s="105">
        <f>'11.F&amp;V Crop Production details'!C102</f>
        <v>0</v>
      </c>
      <c r="E37" s="105">
        <f>'11.F&amp;V Crop Production details'!D102</f>
        <v>0</v>
      </c>
      <c r="F37" s="105">
        <f>'11.F&amp;V Crop Production details'!E102</f>
        <v>0</v>
      </c>
      <c r="G37" s="105">
        <f>'11.F&amp;V Crop Production details'!F102</f>
        <v>0</v>
      </c>
      <c r="H37" s="105">
        <f>'11.F&amp;V Crop Production details'!G102</f>
        <v>0</v>
      </c>
      <c r="I37" s="105">
        <f>'11.F&amp;V Crop Production details'!H102</f>
        <v>0</v>
      </c>
    </row>
    <row r="38" spans="1:9" ht="14.45" hidden="1" x14ac:dyDescent="0.35">
      <c r="A38" s="70" t="str">
        <f>'11.F&amp;V Crop Production details'!A103</f>
        <v>Tomato</v>
      </c>
      <c r="B38" s="104"/>
      <c r="C38" s="105">
        <f>'11.F&amp;V Crop Production details'!B103</f>
        <v>0</v>
      </c>
      <c r="D38" s="105">
        <f>'11.F&amp;V Crop Production details'!C103</f>
        <v>0</v>
      </c>
      <c r="E38" s="105">
        <f>'11.F&amp;V Crop Production details'!D103</f>
        <v>0</v>
      </c>
      <c r="F38" s="105">
        <f>'11.F&amp;V Crop Production details'!E103</f>
        <v>0</v>
      </c>
      <c r="G38" s="105">
        <f>'11.F&amp;V Crop Production details'!F103</f>
        <v>0</v>
      </c>
      <c r="H38" s="105">
        <f>'11.F&amp;V Crop Production details'!G103</f>
        <v>0</v>
      </c>
      <c r="I38" s="105">
        <f>'11.F&amp;V Crop Production details'!H103</f>
        <v>0</v>
      </c>
    </row>
    <row r="39" spans="1:9" ht="14.45" hidden="1" x14ac:dyDescent="0.35">
      <c r="A39" s="70" t="str">
        <f>'11.F&amp;V Crop Production details'!A104</f>
        <v>Okra</v>
      </c>
      <c r="B39" s="104"/>
      <c r="C39" s="105">
        <f>'11.F&amp;V Crop Production details'!B104</f>
        <v>0</v>
      </c>
      <c r="D39" s="105">
        <f>'11.F&amp;V Crop Production details'!C104</f>
        <v>0</v>
      </c>
      <c r="E39" s="105">
        <f>'11.F&amp;V Crop Production details'!D104</f>
        <v>0</v>
      </c>
      <c r="F39" s="105">
        <f>'11.F&amp;V Crop Production details'!E104</f>
        <v>0</v>
      </c>
      <c r="G39" s="105">
        <f>'11.F&amp;V Crop Production details'!F104</f>
        <v>0</v>
      </c>
      <c r="H39" s="105">
        <f>'11.F&amp;V Crop Production details'!G104</f>
        <v>0</v>
      </c>
      <c r="I39" s="105">
        <f>'11.F&amp;V Crop Production details'!H104</f>
        <v>0</v>
      </c>
    </row>
    <row r="40" spans="1:9" ht="14.45" hidden="1" x14ac:dyDescent="0.35">
      <c r="A40" s="70" t="str">
        <f>'11.F&amp;V Crop Production details'!A105</f>
        <v>Chilli</v>
      </c>
      <c r="B40" s="104"/>
      <c r="C40" s="105">
        <f>'11.F&amp;V Crop Production details'!B105</f>
        <v>0</v>
      </c>
      <c r="D40" s="105">
        <f>'11.F&amp;V Crop Production details'!C105</f>
        <v>0</v>
      </c>
      <c r="E40" s="105">
        <f>'11.F&amp;V Crop Production details'!D105</f>
        <v>0</v>
      </c>
      <c r="F40" s="105">
        <f>'11.F&amp;V Crop Production details'!E105</f>
        <v>0</v>
      </c>
      <c r="G40" s="105">
        <f>'11.F&amp;V Crop Production details'!F105</f>
        <v>0</v>
      </c>
      <c r="H40" s="105">
        <f>'11.F&amp;V Crop Production details'!G105</f>
        <v>0</v>
      </c>
      <c r="I40" s="105">
        <f>'11.F&amp;V Crop Production details'!H105</f>
        <v>0</v>
      </c>
    </row>
    <row r="41" spans="1:9" ht="14.45" hidden="1" x14ac:dyDescent="0.35">
      <c r="A41" s="70" t="str">
        <f>'11.F&amp;V Crop Production details'!A106</f>
        <v>Potato</v>
      </c>
      <c r="B41" s="104"/>
      <c r="C41" s="105">
        <f>'11.F&amp;V Crop Production details'!B106</f>
        <v>0</v>
      </c>
      <c r="D41" s="105">
        <f>'11.F&amp;V Crop Production details'!C106</f>
        <v>0</v>
      </c>
      <c r="E41" s="105">
        <f>'11.F&amp;V Crop Production details'!D106</f>
        <v>0</v>
      </c>
      <c r="F41" s="105">
        <f>'11.F&amp;V Crop Production details'!E106</f>
        <v>0</v>
      </c>
      <c r="G41" s="105">
        <f>'11.F&amp;V Crop Production details'!F106</f>
        <v>0</v>
      </c>
      <c r="H41" s="105">
        <f>'11.F&amp;V Crop Production details'!G106</f>
        <v>0</v>
      </c>
      <c r="I41" s="105">
        <f>'11.F&amp;V Crop Production details'!H106</f>
        <v>0</v>
      </c>
    </row>
    <row r="42" spans="1:9" ht="14.45" hidden="1" x14ac:dyDescent="0.35">
      <c r="A42" s="70">
        <f>'11.F&amp;V Crop Production details'!A107</f>
        <v>0</v>
      </c>
      <c r="B42" s="104"/>
      <c r="C42" s="105">
        <f>'11.F&amp;V Crop Production details'!B107</f>
        <v>0</v>
      </c>
      <c r="D42" s="105">
        <f>'11.F&amp;V Crop Production details'!C107</f>
        <v>0</v>
      </c>
      <c r="E42" s="105">
        <f>'11.F&amp;V Crop Production details'!D107</f>
        <v>0</v>
      </c>
      <c r="F42" s="105">
        <f>'11.F&amp;V Crop Production details'!E107</f>
        <v>0</v>
      </c>
      <c r="G42" s="105">
        <f>'11.F&amp;V Crop Production details'!F107</f>
        <v>0</v>
      </c>
      <c r="H42" s="105">
        <f>'11.F&amp;V Crop Production details'!G107</f>
        <v>0</v>
      </c>
      <c r="I42" s="105">
        <f>'11.F&amp;V Crop Production details'!H107</f>
        <v>0</v>
      </c>
    </row>
    <row r="43" spans="1:9" ht="14.45" hidden="1" x14ac:dyDescent="0.35">
      <c r="A43" s="70">
        <f>'11.F&amp;V Crop Production details'!A108</f>
        <v>0</v>
      </c>
      <c r="B43" s="104"/>
      <c r="C43" s="105">
        <f>'11.F&amp;V Crop Production details'!B108</f>
        <v>0</v>
      </c>
      <c r="D43" s="105">
        <f>'11.F&amp;V Crop Production details'!C108</f>
        <v>0</v>
      </c>
      <c r="E43" s="105">
        <f>'11.F&amp;V Crop Production details'!D108</f>
        <v>0</v>
      </c>
      <c r="F43" s="105">
        <f>'11.F&amp;V Crop Production details'!E108</f>
        <v>0</v>
      </c>
      <c r="G43" s="105">
        <f>'11.F&amp;V Crop Production details'!F108</f>
        <v>0</v>
      </c>
      <c r="H43" s="105">
        <f>'11.F&amp;V Crop Production details'!G108</f>
        <v>0</v>
      </c>
      <c r="I43" s="105">
        <f>'11.F&amp;V Crop Production details'!H108</f>
        <v>0</v>
      </c>
    </row>
    <row r="44" spans="1:9" ht="14.45" hidden="1" x14ac:dyDescent="0.35">
      <c r="A44" s="70">
        <f>'11.F&amp;V Crop Production details'!A109</f>
        <v>0</v>
      </c>
      <c r="B44" s="104"/>
      <c r="C44" s="105">
        <f>'11.F&amp;V Crop Production details'!B109</f>
        <v>0</v>
      </c>
      <c r="D44" s="105">
        <f>'11.F&amp;V Crop Production details'!C109</f>
        <v>0</v>
      </c>
      <c r="E44" s="105">
        <f>'11.F&amp;V Crop Production details'!D109</f>
        <v>0</v>
      </c>
      <c r="F44" s="105">
        <f>'11.F&amp;V Crop Production details'!E109</f>
        <v>0</v>
      </c>
      <c r="G44" s="105">
        <f>'11.F&amp;V Crop Production details'!F109</f>
        <v>0</v>
      </c>
      <c r="H44" s="105">
        <f>'11.F&amp;V Crop Production details'!G109</f>
        <v>0</v>
      </c>
      <c r="I44" s="105">
        <f>'11.F&amp;V Crop Production details'!H109</f>
        <v>0</v>
      </c>
    </row>
    <row r="45" spans="1:9" ht="14.45" hidden="1" x14ac:dyDescent="0.35">
      <c r="A45" s="70">
        <f>'11.F&amp;V Crop Production details'!A110</f>
        <v>0</v>
      </c>
      <c r="B45" s="104"/>
      <c r="C45" s="105">
        <f>'11.F&amp;V Crop Production details'!B110</f>
        <v>0</v>
      </c>
      <c r="D45" s="105">
        <f>'11.F&amp;V Crop Production details'!C110</f>
        <v>0</v>
      </c>
      <c r="E45" s="105">
        <f>'11.F&amp;V Crop Production details'!D110</f>
        <v>0</v>
      </c>
      <c r="F45" s="105">
        <f>'11.F&amp;V Crop Production details'!E110</f>
        <v>0</v>
      </c>
      <c r="G45" s="105">
        <f>'11.F&amp;V Crop Production details'!F110</f>
        <v>0</v>
      </c>
      <c r="H45" s="105">
        <f>'11.F&amp;V Crop Production details'!G110</f>
        <v>0</v>
      </c>
      <c r="I45" s="105">
        <f>'11.F&amp;V Crop Production details'!H110</f>
        <v>0</v>
      </c>
    </row>
    <row r="46" spans="1:9" ht="14.45" hidden="1" x14ac:dyDescent="0.35">
      <c r="A46" s="70" t="str">
        <f>'11.F&amp;V Crop Production details'!A111</f>
        <v>Onion</v>
      </c>
      <c r="B46" s="104"/>
      <c r="C46" s="105">
        <f>'11.F&amp;V Crop Production details'!B111</f>
        <v>0</v>
      </c>
      <c r="D46" s="105">
        <f>'11.F&amp;V Crop Production details'!C111</f>
        <v>0</v>
      </c>
      <c r="E46" s="105">
        <f>'11.F&amp;V Crop Production details'!D111</f>
        <v>0</v>
      </c>
      <c r="F46" s="105">
        <f>'11.F&amp;V Crop Production details'!E111</f>
        <v>0</v>
      </c>
      <c r="G46" s="105">
        <f>'11.F&amp;V Crop Production details'!F111</f>
        <v>0</v>
      </c>
      <c r="H46" s="105">
        <f>'11.F&amp;V Crop Production details'!G111</f>
        <v>0</v>
      </c>
      <c r="I46" s="105">
        <f>'11.F&amp;V Crop Production details'!H111</f>
        <v>0</v>
      </c>
    </row>
    <row r="47" spans="1:9" ht="14.45" hidden="1" x14ac:dyDescent="0.35">
      <c r="A47" s="70" t="str">
        <f>'11.F&amp;V Crop Production details'!A112</f>
        <v>Tomato</v>
      </c>
      <c r="B47" s="104"/>
      <c r="C47" s="105">
        <f>'11.F&amp;V Crop Production details'!B112</f>
        <v>0</v>
      </c>
      <c r="D47" s="105">
        <f>'11.F&amp;V Crop Production details'!C112</f>
        <v>0</v>
      </c>
      <c r="E47" s="105">
        <f>'11.F&amp;V Crop Production details'!D112</f>
        <v>0</v>
      </c>
      <c r="F47" s="105">
        <f>'11.F&amp;V Crop Production details'!E112</f>
        <v>0</v>
      </c>
      <c r="G47" s="105">
        <f>'11.F&amp;V Crop Production details'!F112</f>
        <v>0</v>
      </c>
      <c r="H47" s="105">
        <f>'11.F&amp;V Crop Production details'!G112</f>
        <v>0</v>
      </c>
      <c r="I47" s="105">
        <f>'11.F&amp;V Crop Production details'!H112</f>
        <v>0</v>
      </c>
    </row>
    <row r="48" spans="1:9" ht="14.45" hidden="1" x14ac:dyDescent="0.35">
      <c r="A48" s="70" t="str">
        <f>'11.F&amp;V Crop Production details'!A113</f>
        <v>Okra</v>
      </c>
      <c r="B48" s="104"/>
      <c r="C48" s="105">
        <f>'11.F&amp;V Crop Production details'!B113</f>
        <v>0</v>
      </c>
      <c r="D48" s="105">
        <f>'11.F&amp;V Crop Production details'!C113</f>
        <v>0</v>
      </c>
      <c r="E48" s="105">
        <f>'11.F&amp;V Crop Production details'!D113</f>
        <v>0</v>
      </c>
      <c r="F48" s="105">
        <f>'11.F&amp;V Crop Production details'!E113</f>
        <v>0</v>
      </c>
      <c r="G48" s="105">
        <f>'11.F&amp;V Crop Production details'!F113</f>
        <v>0</v>
      </c>
      <c r="H48" s="105">
        <f>'11.F&amp;V Crop Production details'!G113</f>
        <v>0</v>
      </c>
      <c r="I48" s="105">
        <f>'11.F&amp;V Crop Production details'!H113</f>
        <v>0</v>
      </c>
    </row>
    <row r="49" spans="1:9" ht="14.45" hidden="1" x14ac:dyDescent="0.35">
      <c r="A49" s="70" t="str">
        <f>'11.F&amp;V Crop Production details'!A114</f>
        <v>Chilli</v>
      </c>
      <c r="B49" s="104"/>
      <c r="C49" s="105">
        <f>'11.F&amp;V Crop Production details'!B114</f>
        <v>0</v>
      </c>
      <c r="D49" s="105">
        <f>'11.F&amp;V Crop Production details'!C114</f>
        <v>0</v>
      </c>
      <c r="E49" s="105">
        <f>'11.F&amp;V Crop Production details'!D114</f>
        <v>0</v>
      </c>
      <c r="F49" s="105">
        <f>'11.F&amp;V Crop Production details'!E114</f>
        <v>0</v>
      </c>
      <c r="G49" s="105">
        <f>'11.F&amp;V Crop Production details'!F114</f>
        <v>0</v>
      </c>
      <c r="H49" s="105">
        <f>'11.F&amp;V Crop Production details'!G114</f>
        <v>0</v>
      </c>
      <c r="I49" s="105">
        <f>'11.F&amp;V Crop Production details'!H114</f>
        <v>0</v>
      </c>
    </row>
    <row r="50" spans="1:9" ht="14.45" hidden="1" x14ac:dyDescent="0.35">
      <c r="A50" s="70" t="str">
        <f>'11.F&amp;V Crop Production details'!A115</f>
        <v>Brinjal</v>
      </c>
      <c r="B50" s="104"/>
      <c r="C50" s="105">
        <f>'11.F&amp;V Crop Production details'!B115</f>
        <v>0</v>
      </c>
      <c r="D50" s="105">
        <f>'11.F&amp;V Crop Production details'!C115</f>
        <v>0</v>
      </c>
      <c r="E50" s="105">
        <f>'11.F&amp;V Crop Production details'!D115</f>
        <v>0</v>
      </c>
      <c r="F50" s="105">
        <f>'11.F&amp;V Crop Production details'!E115</f>
        <v>0</v>
      </c>
      <c r="G50" s="105">
        <f>'11.F&amp;V Crop Production details'!F115</f>
        <v>0</v>
      </c>
      <c r="H50" s="105">
        <f>'11.F&amp;V Crop Production details'!G115</f>
        <v>0</v>
      </c>
      <c r="I50" s="105">
        <f>'11.F&amp;V Crop Production details'!H115</f>
        <v>0</v>
      </c>
    </row>
    <row r="51" spans="1:9" ht="14.45" hidden="1" x14ac:dyDescent="0.35">
      <c r="A51" s="70">
        <f>'11.F&amp;V Crop Production details'!A116</f>
        <v>0</v>
      </c>
      <c r="B51" s="104"/>
      <c r="C51" s="105">
        <f>'11.F&amp;V Crop Production details'!B116</f>
        <v>0</v>
      </c>
      <c r="D51" s="105">
        <f>'11.F&amp;V Crop Production details'!C116</f>
        <v>0</v>
      </c>
      <c r="E51" s="105">
        <f>'11.F&amp;V Crop Production details'!D116</f>
        <v>0</v>
      </c>
      <c r="F51" s="105">
        <f>'11.F&amp;V Crop Production details'!E116</f>
        <v>0</v>
      </c>
      <c r="G51" s="105">
        <f>'11.F&amp;V Crop Production details'!F116</f>
        <v>0</v>
      </c>
      <c r="H51" s="105">
        <f>'11.F&amp;V Crop Production details'!G116</f>
        <v>0</v>
      </c>
      <c r="I51" s="105">
        <f>'11.F&amp;V Crop Production details'!H116</f>
        <v>0</v>
      </c>
    </row>
    <row r="52" spans="1:9" ht="14.45" hidden="1" x14ac:dyDescent="0.35">
      <c r="A52" s="70">
        <f>'11.F&amp;V Crop Production details'!A117</f>
        <v>0</v>
      </c>
      <c r="B52" s="104"/>
      <c r="C52" s="105">
        <f>'11.F&amp;V Crop Production details'!B117</f>
        <v>0</v>
      </c>
      <c r="D52" s="105">
        <f>'11.F&amp;V Crop Production details'!C117</f>
        <v>0</v>
      </c>
      <c r="E52" s="105">
        <f>'11.F&amp;V Crop Production details'!D117</f>
        <v>0</v>
      </c>
      <c r="F52" s="105">
        <f>'11.F&amp;V Crop Production details'!E117</f>
        <v>0</v>
      </c>
      <c r="G52" s="105">
        <f>'11.F&amp;V Crop Production details'!F117</f>
        <v>0</v>
      </c>
      <c r="H52" s="105">
        <f>'11.F&amp;V Crop Production details'!G117</f>
        <v>0</v>
      </c>
      <c r="I52" s="105">
        <f>'11.F&amp;V Crop Production details'!H117</f>
        <v>0</v>
      </c>
    </row>
    <row r="53" spans="1:9" ht="14.45" hidden="1" x14ac:dyDescent="0.35">
      <c r="A53" s="70">
        <f>'11.F&amp;V Crop Production details'!A118</f>
        <v>0</v>
      </c>
      <c r="B53" s="104"/>
      <c r="C53" s="105">
        <f>'11.F&amp;V Crop Production details'!B118</f>
        <v>0</v>
      </c>
      <c r="D53" s="105">
        <f>'11.F&amp;V Crop Production details'!C118</f>
        <v>0</v>
      </c>
      <c r="E53" s="105">
        <f>'11.F&amp;V Crop Production details'!D118</f>
        <v>0</v>
      </c>
      <c r="F53" s="105">
        <f>'11.F&amp;V Crop Production details'!E118</f>
        <v>0</v>
      </c>
      <c r="G53" s="105">
        <f>'11.F&amp;V Crop Production details'!F118</f>
        <v>0</v>
      </c>
      <c r="H53" s="105">
        <f>'11.F&amp;V Crop Production details'!G118</f>
        <v>0</v>
      </c>
      <c r="I53" s="105">
        <f>'11.F&amp;V Crop Production details'!H118</f>
        <v>0</v>
      </c>
    </row>
    <row r="54" spans="1:9" ht="14.45" hidden="1" x14ac:dyDescent="0.35">
      <c r="A54" s="70">
        <f>'11.F&amp;V Crop Production details'!A119</f>
        <v>0</v>
      </c>
      <c r="B54" s="104"/>
      <c r="C54" s="105">
        <f>'11.F&amp;V Crop Production details'!B119</f>
        <v>0</v>
      </c>
      <c r="D54" s="105">
        <f>'11.F&amp;V Crop Production details'!C119</f>
        <v>0</v>
      </c>
      <c r="E54" s="105">
        <f>'11.F&amp;V Crop Production details'!D119</f>
        <v>0</v>
      </c>
      <c r="F54" s="105">
        <f>'11.F&amp;V Crop Production details'!E119</f>
        <v>0</v>
      </c>
      <c r="G54" s="105">
        <f>'11.F&amp;V Crop Production details'!F119</f>
        <v>0</v>
      </c>
      <c r="H54" s="105">
        <f>'11.F&amp;V Crop Production details'!G119</f>
        <v>0</v>
      </c>
      <c r="I54" s="105">
        <f>'11.F&amp;V Crop Production details'!H119</f>
        <v>0</v>
      </c>
    </row>
    <row r="55" spans="1:9" ht="14.45" hidden="1" x14ac:dyDescent="0.35">
      <c r="A55" s="70">
        <f>'11.F&amp;V Crop Production details'!A120</f>
        <v>0</v>
      </c>
      <c r="B55" s="104"/>
      <c r="C55" s="105">
        <f>'11.F&amp;V Crop Production details'!B120</f>
        <v>0</v>
      </c>
      <c r="D55" s="105">
        <f>'11.F&amp;V Crop Production details'!C120</f>
        <v>0</v>
      </c>
      <c r="E55" s="105">
        <f>'11.F&amp;V Crop Production details'!D120</f>
        <v>0</v>
      </c>
      <c r="F55" s="105">
        <f>'11.F&amp;V Crop Production details'!E120</f>
        <v>0</v>
      </c>
      <c r="G55" s="105">
        <f>'11.F&amp;V Crop Production details'!F120</f>
        <v>0</v>
      </c>
      <c r="H55" s="105">
        <f>'11.F&amp;V Crop Production details'!G120</f>
        <v>0</v>
      </c>
      <c r="I55" s="105">
        <f>'11.F&amp;V Crop Production details'!H120</f>
        <v>0</v>
      </c>
    </row>
    <row r="56" spans="1:9" ht="14.45" hidden="1" x14ac:dyDescent="0.35">
      <c r="A56" s="70">
        <f>'11.F&amp;V Crop Production details'!A121</f>
        <v>0</v>
      </c>
      <c r="B56" s="104"/>
      <c r="C56" s="105">
        <f>'11.F&amp;V Crop Production details'!B121</f>
        <v>0</v>
      </c>
      <c r="D56" s="105">
        <f>'11.F&amp;V Crop Production details'!C121</f>
        <v>0</v>
      </c>
      <c r="E56" s="105">
        <f>'11.F&amp;V Crop Production details'!D121</f>
        <v>0</v>
      </c>
      <c r="F56" s="105">
        <f>'11.F&amp;V Crop Production details'!E121</f>
        <v>0</v>
      </c>
      <c r="G56" s="105">
        <f>'11.F&amp;V Crop Production details'!F121</f>
        <v>0</v>
      </c>
      <c r="H56" s="105">
        <f>'11.F&amp;V Crop Production details'!G121</f>
        <v>0</v>
      </c>
      <c r="I56" s="105">
        <f>'11.F&amp;V Crop Production details'!H121</f>
        <v>0</v>
      </c>
    </row>
    <row r="57" spans="1:9" ht="14.45" hidden="1" x14ac:dyDescent="0.35">
      <c r="A57" s="70">
        <f>'11.F&amp;V Crop Production details'!A122</f>
        <v>0</v>
      </c>
      <c r="B57" s="104"/>
      <c r="C57" s="105">
        <f>'11.F&amp;V Crop Production details'!B122</f>
        <v>0</v>
      </c>
      <c r="D57" s="105">
        <f>'11.F&amp;V Crop Production details'!C122</f>
        <v>0</v>
      </c>
      <c r="E57" s="105">
        <f>'11.F&amp;V Crop Production details'!D122</f>
        <v>0</v>
      </c>
      <c r="F57" s="105">
        <f>'11.F&amp;V Crop Production details'!E122</f>
        <v>0</v>
      </c>
      <c r="G57" s="105">
        <f>'11.F&amp;V Crop Production details'!F122</f>
        <v>0</v>
      </c>
      <c r="H57" s="105">
        <f>'11.F&amp;V Crop Production details'!G122</f>
        <v>0</v>
      </c>
      <c r="I57" s="105">
        <f>'11.F&amp;V Crop Production details'!H122</f>
        <v>0</v>
      </c>
    </row>
    <row r="58" spans="1:9" ht="14.45" hidden="1" x14ac:dyDescent="0.35">
      <c r="A58" s="70" t="str">
        <f>'11.F&amp;V Crop Production details'!A123</f>
        <v>Pomegranate</v>
      </c>
      <c r="B58" s="104"/>
      <c r="C58" s="105">
        <f>'11.F&amp;V Crop Production details'!B123</f>
        <v>0</v>
      </c>
      <c r="D58" s="105">
        <f>'11.F&amp;V Crop Production details'!C123</f>
        <v>0</v>
      </c>
      <c r="E58" s="105">
        <f>'11.F&amp;V Crop Production details'!D123</f>
        <v>0</v>
      </c>
      <c r="F58" s="105">
        <f>'11.F&amp;V Crop Production details'!E123</f>
        <v>0</v>
      </c>
      <c r="G58" s="105">
        <f>'11.F&amp;V Crop Production details'!F123</f>
        <v>0</v>
      </c>
      <c r="H58" s="105">
        <f>'11.F&amp;V Crop Production details'!G123</f>
        <v>0</v>
      </c>
      <c r="I58" s="105">
        <f>'11.F&amp;V Crop Production details'!H123</f>
        <v>0</v>
      </c>
    </row>
    <row r="59" spans="1:9" ht="14.45" hidden="1" x14ac:dyDescent="0.35">
      <c r="A59" s="70" t="str">
        <f>'11.F&amp;V Crop Production details'!A124</f>
        <v>Custard Apple</v>
      </c>
      <c r="B59" s="104"/>
      <c r="C59" s="105">
        <f>'11.F&amp;V Crop Production details'!B124</f>
        <v>0</v>
      </c>
      <c r="D59" s="105">
        <f>'11.F&amp;V Crop Production details'!C124</f>
        <v>0</v>
      </c>
      <c r="E59" s="105">
        <f>'11.F&amp;V Crop Production details'!D124</f>
        <v>0</v>
      </c>
      <c r="F59" s="105">
        <f>'11.F&amp;V Crop Production details'!E124</f>
        <v>0</v>
      </c>
      <c r="G59" s="105">
        <f>'11.F&amp;V Crop Production details'!F124</f>
        <v>0</v>
      </c>
      <c r="H59" s="105">
        <f>'11.F&amp;V Crop Production details'!G124</f>
        <v>0</v>
      </c>
      <c r="I59" s="105">
        <f>'11.F&amp;V Crop Production details'!H124</f>
        <v>0</v>
      </c>
    </row>
    <row r="60" spans="1:9" ht="14.45" hidden="1" x14ac:dyDescent="0.35">
      <c r="A60" s="70" t="str">
        <f>'11.F&amp;V Crop Production details'!A125</f>
        <v>Guava</v>
      </c>
      <c r="B60" s="104"/>
      <c r="C60" s="105">
        <f>'11.F&amp;V Crop Production details'!B125</f>
        <v>0</v>
      </c>
      <c r="D60" s="105">
        <f>'11.F&amp;V Crop Production details'!C125</f>
        <v>0</v>
      </c>
      <c r="E60" s="105">
        <f>'11.F&amp;V Crop Production details'!D125</f>
        <v>0</v>
      </c>
      <c r="F60" s="105">
        <f>'11.F&amp;V Crop Production details'!E125</f>
        <v>0</v>
      </c>
      <c r="G60" s="105">
        <f>'11.F&amp;V Crop Production details'!F125</f>
        <v>0</v>
      </c>
      <c r="H60" s="105">
        <f>'11.F&amp;V Crop Production details'!G125</f>
        <v>0</v>
      </c>
      <c r="I60" s="105">
        <f>'11.F&amp;V Crop Production details'!H125</f>
        <v>0</v>
      </c>
    </row>
    <row r="61" spans="1:9" ht="14.45" hidden="1" x14ac:dyDescent="0.35">
      <c r="A61" s="70" t="str">
        <f>'11.F&amp;V Crop Production details'!A126</f>
        <v>Citrus</v>
      </c>
      <c r="B61" s="104"/>
      <c r="C61" s="105">
        <f>'11.F&amp;V Crop Production details'!B126</f>
        <v>0</v>
      </c>
      <c r="D61" s="105">
        <f>'11.F&amp;V Crop Production details'!C126</f>
        <v>0</v>
      </c>
      <c r="E61" s="105">
        <f>'11.F&amp;V Crop Production details'!D126</f>
        <v>0</v>
      </c>
      <c r="F61" s="105">
        <f>'11.F&amp;V Crop Production details'!E126</f>
        <v>0</v>
      </c>
      <c r="G61" s="105">
        <f>'11.F&amp;V Crop Production details'!F126</f>
        <v>0</v>
      </c>
      <c r="H61" s="105">
        <f>'11.F&amp;V Crop Production details'!G126</f>
        <v>0</v>
      </c>
      <c r="I61" s="105">
        <f>'11.F&amp;V Crop Production details'!H126</f>
        <v>0</v>
      </c>
    </row>
    <row r="62" spans="1:9" ht="14.45" x14ac:dyDescent="0.35">
      <c r="A62" s="70"/>
      <c r="B62" s="104"/>
      <c r="C62" s="104"/>
      <c r="D62" s="104"/>
      <c r="E62" s="104"/>
      <c r="F62" s="104"/>
      <c r="G62" s="104"/>
      <c r="H62" s="104"/>
      <c r="I62" s="104"/>
    </row>
    <row r="63" spans="1:9" ht="14.45" x14ac:dyDescent="0.35">
      <c r="A63" s="83" t="s">
        <v>722</v>
      </c>
      <c r="B63" s="70"/>
      <c r="C63" s="106">
        <f>SUM(C15:C24)</f>
        <v>4664.8</v>
      </c>
      <c r="D63" s="106">
        <f t="shared" ref="D63:I63" si="1">SUM(D15:D24)</f>
        <v>5597.76</v>
      </c>
      <c r="E63" s="106">
        <f t="shared" si="1"/>
        <v>6530.72</v>
      </c>
      <c r="F63" s="106">
        <f t="shared" si="1"/>
        <v>7463.6799999999994</v>
      </c>
      <c r="G63" s="106">
        <f t="shared" si="1"/>
        <v>8396.64</v>
      </c>
      <c r="H63" s="106">
        <f t="shared" si="1"/>
        <v>9329.5999999999985</v>
      </c>
      <c r="I63" s="106">
        <f t="shared" si="1"/>
        <v>10262.56</v>
      </c>
    </row>
    <row r="64" spans="1:9" ht="14.45" x14ac:dyDescent="0.35">
      <c r="A64" s="83"/>
      <c r="B64" s="70"/>
      <c r="C64" s="70"/>
      <c r="D64" s="70"/>
      <c r="E64" s="70"/>
      <c r="F64" s="70"/>
      <c r="G64" s="70"/>
      <c r="H64" s="70"/>
      <c r="I64" s="70"/>
    </row>
    <row r="65" spans="1:9" ht="14.45" x14ac:dyDescent="0.35">
      <c r="A65" s="83" t="s">
        <v>721</v>
      </c>
      <c r="B65" s="70"/>
      <c r="C65" s="70"/>
      <c r="D65" s="70"/>
      <c r="E65" s="70"/>
      <c r="F65" s="70"/>
      <c r="G65" s="70"/>
      <c r="H65" s="70"/>
      <c r="I65" s="70"/>
    </row>
    <row r="66" spans="1:9" ht="14.45" hidden="1" x14ac:dyDescent="0.35">
      <c r="A66" s="70" t="str">
        <f t="shared" ref="A66:A96" si="2">A13</f>
        <v>Maize</v>
      </c>
      <c r="B66" s="85">
        <v>1</v>
      </c>
      <c r="C66" s="107">
        <f>$B66*C13</f>
        <v>0</v>
      </c>
      <c r="D66" s="107">
        <f>$B66*D13</f>
        <v>0</v>
      </c>
      <c r="E66" s="107">
        <f t="shared" ref="E66:I66" si="3">$B66*E13</f>
        <v>0</v>
      </c>
      <c r="F66" s="107">
        <f t="shared" si="3"/>
        <v>0</v>
      </c>
      <c r="G66" s="107">
        <f t="shared" si="3"/>
        <v>0</v>
      </c>
      <c r="H66" s="107">
        <f t="shared" si="3"/>
        <v>0</v>
      </c>
      <c r="I66" s="107">
        <f t="shared" si="3"/>
        <v>0</v>
      </c>
    </row>
    <row r="67" spans="1:9" ht="14.45" hidden="1" x14ac:dyDescent="0.35">
      <c r="A67" s="70" t="str">
        <f t="shared" si="2"/>
        <v>Red Gram/Tur</v>
      </c>
      <c r="B67" s="85">
        <v>1</v>
      </c>
      <c r="C67" s="107">
        <f>$B67*C14</f>
        <v>0</v>
      </c>
      <c r="D67" s="107">
        <f t="shared" ref="D67:I67" si="4">$B$67*D14</f>
        <v>0</v>
      </c>
      <c r="E67" s="107">
        <f t="shared" si="4"/>
        <v>0</v>
      </c>
      <c r="F67" s="107">
        <f t="shared" si="4"/>
        <v>0</v>
      </c>
      <c r="G67" s="107">
        <f t="shared" si="4"/>
        <v>0</v>
      </c>
      <c r="H67" s="107">
        <f t="shared" si="4"/>
        <v>0</v>
      </c>
      <c r="I67" s="107">
        <f t="shared" si="4"/>
        <v>0</v>
      </c>
    </row>
    <row r="68" spans="1:9" ht="14.45" x14ac:dyDescent="0.35">
      <c r="A68" s="70" t="str">
        <f t="shared" si="2"/>
        <v>Bajra</v>
      </c>
      <c r="B68" s="85">
        <v>1</v>
      </c>
      <c r="C68" s="107">
        <f>$B68*C15</f>
        <v>1372</v>
      </c>
      <c r="D68" s="107">
        <f t="shared" ref="D68:I68" si="5">$B$68*D15</f>
        <v>1646.3999999999999</v>
      </c>
      <c r="E68" s="107">
        <f t="shared" si="5"/>
        <v>1920.8</v>
      </c>
      <c r="F68" s="107">
        <f t="shared" si="5"/>
        <v>2195.1999999999998</v>
      </c>
      <c r="G68" s="107">
        <f t="shared" si="5"/>
        <v>2469.6</v>
      </c>
      <c r="H68" s="107">
        <f t="shared" si="5"/>
        <v>2743.9999999999995</v>
      </c>
      <c r="I68" s="107">
        <f t="shared" si="5"/>
        <v>3018.3999999999996</v>
      </c>
    </row>
    <row r="69" spans="1:9" ht="14.45" hidden="1" x14ac:dyDescent="0.35">
      <c r="A69" s="70">
        <f t="shared" si="2"/>
        <v>0</v>
      </c>
      <c r="B69" s="85">
        <v>1</v>
      </c>
      <c r="C69" s="107">
        <f>$B69*C16</f>
        <v>0</v>
      </c>
      <c r="D69" s="107">
        <f t="shared" ref="D69:I71" si="6">$B69*D16</f>
        <v>0</v>
      </c>
      <c r="E69" s="107">
        <f t="shared" si="6"/>
        <v>0</v>
      </c>
      <c r="F69" s="107">
        <f t="shared" si="6"/>
        <v>0</v>
      </c>
      <c r="G69" s="107">
        <f t="shared" si="6"/>
        <v>0</v>
      </c>
      <c r="H69" s="107">
        <f t="shared" si="6"/>
        <v>0</v>
      </c>
      <c r="I69" s="107">
        <f t="shared" si="6"/>
        <v>0</v>
      </c>
    </row>
    <row r="70" spans="1:9" ht="14.45" hidden="1" x14ac:dyDescent="0.35">
      <c r="A70" s="70">
        <f t="shared" si="2"/>
        <v>0</v>
      </c>
      <c r="B70" s="85">
        <v>1</v>
      </c>
      <c r="C70" s="107">
        <f>$B70*C17</f>
        <v>0</v>
      </c>
      <c r="D70" s="107">
        <f t="shared" si="6"/>
        <v>0</v>
      </c>
      <c r="E70" s="107">
        <f t="shared" si="6"/>
        <v>0</v>
      </c>
      <c r="F70" s="107">
        <f t="shared" si="6"/>
        <v>0</v>
      </c>
      <c r="G70" s="107">
        <f t="shared" si="6"/>
        <v>0</v>
      </c>
      <c r="H70" s="107">
        <f t="shared" si="6"/>
        <v>0</v>
      </c>
      <c r="I70" s="107">
        <f t="shared" si="6"/>
        <v>0</v>
      </c>
    </row>
    <row r="71" spans="1:9" ht="14.45" hidden="1" x14ac:dyDescent="0.35">
      <c r="A71" s="70">
        <f t="shared" si="2"/>
        <v>0</v>
      </c>
      <c r="B71" s="85">
        <v>1</v>
      </c>
      <c r="C71" s="107">
        <f>$B71*C18</f>
        <v>0</v>
      </c>
      <c r="D71" s="107">
        <f t="shared" si="6"/>
        <v>0</v>
      </c>
      <c r="E71" s="107">
        <f t="shared" si="6"/>
        <v>0</v>
      </c>
      <c r="F71" s="107">
        <f t="shared" si="6"/>
        <v>0</v>
      </c>
      <c r="G71" s="107">
        <f t="shared" si="6"/>
        <v>0</v>
      </c>
      <c r="H71" s="107">
        <f t="shared" si="6"/>
        <v>0</v>
      </c>
      <c r="I71" s="107">
        <f t="shared" si="6"/>
        <v>0</v>
      </c>
    </row>
    <row r="72" spans="1:9" ht="14.45" hidden="1" x14ac:dyDescent="0.35">
      <c r="A72" s="70">
        <f t="shared" si="2"/>
        <v>0</v>
      </c>
      <c r="B72" s="85">
        <v>1</v>
      </c>
      <c r="C72" s="107">
        <f t="shared" ref="C72:I72" si="7">$B72*C19</f>
        <v>0</v>
      </c>
      <c r="D72" s="107">
        <f t="shared" si="7"/>
        <v>0</v>
      </c>
      <c r="E72" s="107">
        <f t="shared" si="7"/>
        <v>0</v>
      </c>
      <c r="F72" s="107">
        <f t="shared" si="7"/>
        <v>0</v>
      </c>
      <c r="G72" s="107">
        <f t="shared" si="7"/>
        <v>0</v>
      </c>
      <c r="H72" s="107">
        <f t="shared" si="7"/>
        <v>0</v>
      </c>
      <c r="I72" s="107">
        <f t="shared" si="7"/>
        <v>0</v>
      </c>
    </row>
    <row r="73" spans="1:9" ht="14.45" hidden="1" x14ac:dyDescent="0.35">
      <c r="A73" s="70">
        <f t="shared" si="2"/>
        <v>0</v>
      </c>
      <c r="B73" s="85">
        <v>1</v>
      </c>
      <c r="C73" s="107">
        <f t="shared" ref="C73:I73" si="8">$B73*C20</f>
        <v>0</v>
      </c>
      <c r="D73" s="107">
        <f t="shared" si="8"/>
        <v>0</v>
      </c>
      <c r="E73" s="107">
        <f t="shared" si="8"/>
        <v>0</v>
      </c>
      <c r="F73" s="107">
        <f t="shared" si="8"/>
        <v>0</v>
      </c>
      <c r="G73" s="107">
        <f t="shared" si="8"/>
        <v>0</v>
      </c>
      <c r="H73" s="107">
        <f t="shared" si="8"/>
        <v>0</v>
      </c>
      <c r="I73" s="107">
        <f t="shared" si="8"/>
        <v>0</v>
      </c>
    </row>
    <row r="74" spans="1:9" ht="14.45" hidden="1" x14ac:dyDescent="0.35">
      <c r="A74" s="83" t="str">
        <f t="shared" si="2"/>
        <v>Rabi Crop</v>
      </c>
      <c r="B74" s="85">
        <v>1</v>
      </c>
      <c r="C74" s="107"/>
      <c r="D74" s="107"/>
      <c r="E74" s="107"/>
      <c r="F74" s="107"/>
      <c r="G74" s="107"/>
      <c r="H74" s="107"/>
      <c r="I74" s="107"/>
    </row>
    <row r="75" spans="1:9" ht="14.45" x14ac:dyDescent="0.35">
      <c r="A75" s="70" t="str">
        <f t="shared" si="2"/>
        <v>Wheat</v>
      </c>
      <c r="B75" s="85">
        <v>1</v>
      </c>
      <c r="C75" s="107">
        <f t="shared" ref="C75:I75" si="9">$B75*C22</f>
        <v>1646.4</v>
      </c>
      <c r="D75" s="107">
        <f t="shared" si="9"/>
        <v>1975.68</v>
      </c>
      <c r="E75" s="107">
        <f t="shared" si="9"/>
        <v>2304.96</v>
      </c>
      <c r="F75" s="107">
        <f t="shared" si="9"/>
        <v>2634.24</v>
      </c>
      <c r="G75" s="107">
        <f t="shared" si="9"/>
        <v>2963.52</v>
      </c>
      <c r="H75" s="107">
        <f t="shared" si="9"/>
        <v>3292.7999999999997</v>
      </c>
      <c r="I75" s="107">
        <f t="shared" si="9"/>
        <v>3622.08</v>
      </c>
    </row>
    <row r="76" spans="1:9" ht="14.45" hidden="1" x14ac:dyDescent="0.35">
      <c r="A76" s="70" t="str">
        <f t="shared" si="2"/>
        <v>Bengal Gram/Channa</v>
      </c>
      <c r="B76" s="85">
        <v>1</v>
      </c>
      <c r="C76" s="107">
        <f t="shared" ref="C76:I76" si="10">$B76*C23</f>
        <v>0</v>
      </c>
      <c r="D76" s="107">
        <f t="shared" si="10"/>
        <v>0</v>
      </c>
      <c r="E76" s="107">
        <f t="shared" si="10"/>
        <v>0</v>
      </c>
      <c r="F76" s="107">
        <f t="shared" si="10"/>
        <v>0</v>
      </c>
      <c r="G76" s="107">
        <f t="shared" si="10"/>
        <v>0</v>
      </c>
      <c r="H76" s="107">
        <f t="shared" si="10"/>
        <v>0</v>
      </c>
      <c r="I76" s="107">
        <f t="shared" si="10"/>
        <v>0</v>
      </c>
    </row>
    <row r="77" spans="1:9" ht="14.45" x14ac:dyDescent="0.35">
      <c r="A77" s="70" t="str">
        <f t="shared" si="2"/>
        <v>Jawar</v>
      </c>
      <c r="B77" s="85">
        <v>1</v>
      </c>
      <c r="C77" s="107">
        <f t="shared" ref="C77:I77" si="11">$B77*C24</f>
        <v>1646.4</v>
      </c>
      <c r="D77" s="107">
        <f t="shared" si="11"/>
        <v>1975.68</v>
      </c>
      <c r="E77" s="107">
        <f t="shared" si="11"/>
        <v>2304.96</v>
      </c>
      <c r="F77" s="107">
        <f t="shared" si="11"/>
        <v>2634.24</v>
      </c>
      <c r="G77" s="107">
        <f t="shared" si="11"/>
        <v>2963.52</v>
      </c>
      <c r="H77" s="107">
        <f t="shared" si="11"/>
        <v>3292.7999999999997</v>
      </c>
      <c r="I77" s="107">
        <f t="shared" si="11"/>
        <v>3622.08</v>
      </c>
    </row>
    <row r="78" spans="1:9" ht="14.45" hidden="1" x14ac:dyDescent="0.35">
      <c r="A78" s="70" t="str">
        <f t="shared" si="2"/>
        <v>Maize</v>
      </c>
      <c r="B78" s="85">
        <v>1</v>
      </c>
      <c r="C78" s="107">
        <f t="shared" ref="C78:I78" si="12">$B78*C25</f>
        <v>0</v>
      </c>
      <c r="D78" s="107">
        <f t="shared" si="12"/>
        <v>0</v>
      </c>
      <c r="E78" s="107">
        <f t="shared" si="12"/>
        <v>0</v>
      </c>
      <c r="F78" s="107">
        <f t="shared" si="12"/>
        <v>0</v>
      </c>
      <c r="G78" s="107">
        <f t="shared" si="12"/>
        <v>0</v>
      </c>
      <c r="H78" s="107">
        <f t="shared" si="12"/>
        <v>0</v>
      </c>
      <c r="I78" s="107">
        <f t="shared" si="12"/>
        <v>0</v>
      </c>
    </row>
    <row r="79" spans="1:9" ht="14.45" hidden="1" x14ac:dyDescent="0.35">
      <c r="A79" s="70">
        <f t="shared" si="2"/>
        <v>0</v>
      </c>
      <c r="B79" s="85">
        <v>1</v>
      </c>
      <c r="C79" s="107">
        <f t="shared" ref="C79:I79" si="13">$B79*C26</f>
        <v>0</v>
      </c>
      <c r="D79" s="107">
        <f t="shared" si="13"/>
        <v>0</v>
      </c>
      <c r="E79" s="107">
        <f t="shared" si="13"/>
        <v>0</v>
      </c>
      <c r="F79" s="107">
        <f t="shared" si="13"/>
        <v>0</v>
      </c>
      <c r="G79" s="107">
        <f t="shared" si="13"/>
        <v>0</v>
      </c>
      <c r="H79" s="107">
        <f t="shared" si="13"/>
        <v>0</v>
      </c>
      <c r="I79" s="107">
        <f t="shared" si="13"/>
        <v>0</v>
      </c>
    </row>
    <row r="80" spans="1:9" ht="14.45" hidden="1" x14ac:dyDescent="0.35">
      <c r="A80" s="70">
        <f t="shared" si="2"/>
        <v>0</v>
      </c>
      <c r="B80" s="85">
        <v>1</v>
      </c>
      <c r="C80" s="107">
        <f t="shared" ref="C80:I80" si="14">$B80*C27</f>
        <v>0</v>
      </c>
      <c r="D80" s="107">
        <f t="shared" si="14"/>
        <v>0</v>
      </c>
      <c r="E80" s="107">
        <f t="shared" si="14"/>
        <v>0</v>
      </c>
      <c r="F80" s="107">
        <f t="shared" si="14"/>
        <v>0</v>
      </c>
      <c r="G80" s="107">
        <f t="shared" si="14"/>
        <v>0</v>
      </c>
      <c r="H80" s="107">
        <f t="shared" si="14"/>
        <v>0</v>
      </c>
      <c r="I80" s="107">
        <f t="shared" si="14"/>
        <v>0</v>
      </c>
    </row>
    <row r="81" spans="1:9" ht="14.45" hidden="1" x14ac:dyDescent="0.35">
      <c r="A81" s="70">
        <f t="shared" si="2"/>
        <v>0</v>
      </c>
      <c r="B81" s="85">
        <v>1</v>
      </c>
      <c r="C81" s="107">
        <f t="shared" ref="C81:I81" si="15">$B81*C28</f>
        <v>0</v>
      </c>
      <c r="D81" s="107">
        <f t="shared" si="15"/>
        <v>0</v>
      </c>
      <c r="E81" s="107">
        <f t="shared" si="15"/>
        <v>0</v>
      </c>
      <c r="F81" s="107">
        <f t="shared" si="15"/>
        <v>0</v>
      </c>
      <c r="G81" s="107">
        <f t="shared" si="15"/>
        <v>0</v>
      </c>
      <c r="H81" s="107">
        <f t="shared" si="15"/>
        <v>0</v>
      </c>
      <c r="I81" s="107">
        <f t="shared" si="15"/>
        <v>0</v>
      </c>
    </row>
    <row r="82" spans="1:9" ht="14.45" hidden="1" x14ac:dyDescent="0.35">
      <c r="A82" s="70">
        <f t="shared" si="2"/>
        <v>0</v>
      </c>
      <c r="B82" s="85">
        <v>1</v>
      </c>
      <c r="C82" s="107">
        <f t="shared" ref="C82:I82" si="16">$B82*C29</f>
        <v>0</v>
      </c>
      <c r="D82" s="107">
        <f t="shared" si="16"/>
        <v>0</v>
      </c>
      <c r="E82" s="107">
        <f t="shared" si="16"/>
        <v>0</v>
      </c>
      <c r="F82" s="107">
        <f t="shared" si="16"/>
        <v>0</v>
      </c>
      <c r="G82" s="107">
        <f t="shared" si="16"/>
        <v>0</v>
      </c>
      <c r="H82" s="107">
        <f t="shared" si="16"/>
        <v>0</v>
      </c>
      <c r="I82" s="107">
        <f t="shared" si="16"/>
        <v>0</v>
      </c>
    </row>
    <row r="83" spans="1:9" ht="14.45" hidden="1" x14ac:dyDescent="0.35">
      <c r="A83" s="83" t="str">
        <f t="shared" si="2"/>
        <v>Summer</v>
      </c>
      <c r="B83" s="85"/>
      <c r="C83" s="107"/>
      <c r="D83" s="107"/>
      <c r="E83" s="107"/>
      <c r="F83" s="107"/>
      <c r="G83" s="107"/>
      <c r="H83" s="107"/>
      <c r="I83" s="107"/>
    </row>
    <row r="84" spans="1:9" ht="14.45" hidden="1" x14ac:dyDescent="0.35">
      <c r="A84" s="70">
        <f t="shared" si="2"/>
        <v>0</v>
      </c>
      <c r="B84" s="85"/>
      <c r="C84" s="107">
        <f t="shared" ref="C84:I84" si="17">$B84*C31</f>
        <v>0</v>
      </c>
      <c r="D84" s="107">
        <f t="shared" si="17"/>
        <v>0</v>
      </c>
      <c r="E84" s="107">
        <f t="shared" si="17"/>
        <v>0</v>
      </c>
      <c r="F84" s="107">
        <f t="shared" si="17"/>
        <v>0</v>
      </c>
      <c r="G84" s="107">
        <f t="shared" si="17"/>
        <v>0</v>
      </c>
      <c r="H84" s="107">
        <f t="shared" si="17"/>
        <v>0</v>
      </c>
      <c r="I84" s="107">
        <f t="shared" si="17"/>
        <v>0</v>
      </c>
    </row>
    <row r="85" spans="1:9" ht="14.45" hidden="1" x14ac:dyDescent="0.35">
      <c r="A85" s="70">
        <f t="shared" si="2"/>
        <v>0</v>
      </c>
      <c r="B85" s="85"/>
      <c r="C85" s="107">
        <f t="shared" ref="C85:I85" si="18">$B85*C32</f>
        <v>0</v>
      </c>
      <c r="D85" s="107">
        <f t="shared" si="18"/>
        <v>0</v>
      </c>
      <c r="E85" s="107">
        <f t="shared" si="18"/>
        <v>0</v>
      </c>
      <c r="F85" s="107">
        <f t="shared" si="18"/>
        <v>0</v>
      </c>
      <c r="G85" s="107">
        <f t="shared" si="18"/>
        <v>0</v>
      </c>
      <c r="H85" s="107">
        <f t="shared" si="18"/>
        <v>0</v>
      </c>
      <c r="I85" s="107">
        <f t="shared" si="18"/>
        <v>0</v>
      </c>
    </row>
    <row r="86" spans="1:9" ht="14.45" hidden="1" x14ac:dyDescent="0.35">
      <c r="A86" s="70">
        <f t="shared" si="2"/>
        <v>0</v>
      </c>
      <c r="B86" s="85"/>
      <c r="C86" s="107">
        <f t="shared" ref="C86:I86" si="19">$B86*C33</f>
        <v>0</v>
      </c>
      <c r="D86" s="107">
        <f t="shared" si="19"/>
        <v>0</v>
      </c>
      <c r="E86" s="107">
        <f t="shared" si="19"/>
        <v>0</v>
      </c>
      <c r="F86" s="107">
        <f t="shared" si="19"/>
        <v>0</v>
      </c>
      <c r="G86" s="107">
        <f t="shared" si="19"/>
        <v>0</v>
      </c>
      <c r="H86" s="107">
        <f t="shared" si="19"/>
        <v>0</v>
      </c>
      <c r="I86" s="107">
        <f t="shared" si="19"/>
        <v>0</v>
      </c>
    </row>
    <row r="87" spans="1:9" ht="14.45" hidden="1" x14ac:dyDescent="0.35">
      <c r="A87" s="70">
        <f t="shared" si="2"/>
        <v>0</v>
      </c>
      <c r="B87" s="85"/>
      <c r="C87" s="107">
        <f t="shared" ref="C87:I87" si="20">$B87*C34</f>
        <v>0</v>
      </c>
      <c r="D87" s="107">
        <f t="shared" si="20"/>
        <v>0</v>
      </c>
      <c r="E87" s="107">
        <f t="shared" si="20"/>
        <v>0</v>
      </c>
      <c r="F87" s="107">
        <f t="shared" si="20"/>
        <v>0</v>
      </c>
      <c r="G87" s="107">
        <f t="shared" si="20"/>
        <v>0</v>
      </c>
      <c r="H87" s="107">
        <f t="shared" si="20"/>
        <v>0</v>
      </c>
      <c r="I87" s="107">
        <f t="shared" si="20"/>
        <v>0</v>
      </c>
    </row>
    <row r="88" spans="1:9" ht="14.45" hidden="1" x14ac:dyDescent="0.35">
      <c r="A88" s="70">
        <f t="shared" si="2"/>
        <v>0</v>
      </c>
      <c r="B88" s="85"/>
      <c r="C88" s="107">
        <f t="shared" ref="C88:I88" si="21">$B88*C35</f>
        <v>0</v>
      </c>
      <c r="D88" s="107">
        <f t="shared" si="21"/>
        <v>0</v>
      </c>
      <c r="E88" s="107">
        <f t="shared" si="21"/>
        <v>0</v>
      </c>
      <c r="F88" s="107">
        <f t="shared" si="21"/>
        <v>0</v>
      </c>
      <c r="G88" s="107">
        <f t="shared" si="21"/>
        <v>0</v>
      </c>
      <c r="H88" s="107">
        <f t="shared" si="21"/>
        <v>0</v>
      </c>
      <c r="I88" s="107">
        <f t="shared" si="21"/>
        <v>0</v>
      </c>
    </row>
    <row r="89" spans="1:9" ht="14.45" hidden="1" x14ac:dyDescent="0.35">
      <c r="A89" s="83" t="str">
        <f t="shared" si="2"/>
        <v>Fruit  &amp; Vegetables Crop Production Details</v>
      </c>
      <c r="B89" s="85"/>
      <c r="C89" s="107"/>
      <c r="D89" s="107"/>
      <c r="E89" s="107"/>
      <c r="F89" s="107"/>
      <c r="G89" s="107"/>
      <c r="H89" s="107"/>
      <c r="I89" s="107"/>
    </row>
    <row r="90" spans="1:9" ht="14.45" hidden="1" x14ac:dyDescent="0.35">
      <c r="A90" s="70" t="str">
        <f t="shared" si="2"/>
        <v>Onion</v>
      </c>
      <c r="B90" s="85"/>
      <c r="C90" s="107">
        <f t="shared" ref="C90:I90" si="22">$B90*C37</f>
        <v>0</v>
      </c>
      <c r="D90" s="107">
        <f t="shared" si="22"/>
        <v>0</v>
      </c>
      <c r="E90" s="107">
        <f t="shared" si="22"/>
        <v>0</v>
      </c>
      <c r="F90" s="107">
        <f t="shared" si="22"/>
        <v>0</v>
      </c>
      <c r="G90" s="107">
        <f t="shared" si="22"/>
        <v>0</v>
      </c>
      <c r="H90" s="107">
        <f t="shared" si="22"/>
        <v>0</v>
      </c>
      <c r="I90" s="107">
        <f t="shared" si="22"/>
        <v>0</v>
      </c>
    </row>
    <row r="91" spans="1:9" ht="14.45" hidden="1" x14ac:dyDescent="0.35">
      <c r="A91" s="70" t="str">
        <f t="shared" si="2"/>
        <v>Tomato</v>
      </c>
      <c r="B91" s="85"/>
      <c r="C91" s="107">
        <f t="shared" ref="C91:I91" si="23">$B91*C38</f>
        <v>0</v>
      </c>
      <c r="D91" s="107">
        <f t="shared" si="23"/>
        <v>0</v>
      </c>
      <c r="E91" s="107">
        <f t="shared" si="23"/>
        <v>0</v>
      </c>
      <c r="F91" s="107">
        <f t="shared" si="23"/>
        <v>0</v>
      </c>
      <c r="G91" s="107">
        <f t="shared" si="23"/>
        <v>0</v>
      </c>
      <c r="H91" s="107">
        <f t="shared" si="23"/>
        <v>0</v>
      </c>
      <c r="I91" s="107">
        <f t="shared" si="23"/>
        <v>0</v>
      </c>
    </row>
    <row r="92" spans="1:9" ht="14.45" hidden="1" x14ac:dyDescent="0.35">
      <c r="A92" s="70" t="str">
        <f t="shared" si="2"/>
        <v>Okra</v>
      </c>
      <c r="B92" s="85"/>
      <c r="C92" s="107">
        <f t="shared" ref="C92:I92" si="24">$B92*C39</f>
        <v>0</v>
      </c>
      <c r="D92" s="107">
        <f t="shared" si="24"/>
        <v>0</v>
      </c>
      <c r="E92" s="107">
        <f t="shared" si="24"/>
        <v>0</v>
      </c>
      <c r="F92" s="107">
        <f t="shared" si="24"/>
        <v>0</v>
      </c>
      <c r="G92" s="107">
        <f t="shared" si="24"/>
        <v>0</v>
      </c>
      <c r="H92" s="107">
        <f t="shared" si="24"/>
        <v>0</v>
      </c>
      <c r="I92" s="107">
        <f t="shared" si="24"/>
        <v>0</v>
      </c>
    </row>
    <row r="93" spans="1:9" ht="14.45" hidden="1" x14ac:dyDescent="0.35">
      <c r="A93" s="70" t="str">
        <f t="shared" si="2"/>
        <v>Chilli</v>
      </c>
      <c r="B93" s="85"/>
      <c r="C93" s="107">
        <f t="shared" ref="C93:I93" si="25">$B93*C40</f>
        <v>0</v>
      </c>
      <c r="D93" s="107">
        <f t="shared" si="25"/>
        <v>0</v>
      </c>
      <c r="E93" s="107">
        <f t="shared" si="25"/>
        <v>0</v>
      </c>
      <c r="F93" s="107">
        <f t="shared" si="25"/>
        <v>0</v>
      </c>
      <c r="G93" s="107">
        <f t="shared" si="25"/>
        <v>0</v>
      </c>
      <c r="H93" s="107">
        <f t="shared" si="25"/>
        <v>0</v>
      </c>
      <c r="I93" s="107">
        <f t="shared" si="25"/>
        <v>0</v>
      </c>
    </row>
    <row r="94" spans="1:9" ht="14.45" hidden="1" x14ac:dyDescent="0.35">
      <c r="A94" s="70" t="str">
        <f t="shared" si="2"/>
        <v>Potato</v>
      </c>
      <c r="B94" s="85"/>
      <c r="C94" s="107">
        <f t="shared" ref="C94:I94" si="26">$B94*C41</f>
        <v>0</v>
      </c>
      <c r="D94" s="107">
        <f t="shared" si="26"/>
        <v>0</v>
      </c>
      <c r="E94" s="107">
        <f t="shared" si="26"/>
        <v>0</v>
      </c>
      <c r="F94" s="107">
        <f t="shared" si="26"/>
        <v>0</v>
      </c>
      <c r="G94" s="107">
        <f t="shared" si="26"/>
        <v>0</v>
      </c>
      <c r="H94" s="107">
        <f t="shared" si="26"/>
        <v>0</v>
      </c>
      <c r="I94" s="107">
        <f t="shared" si="26"/>
        <v>0</v>
      </c>
    </row>
    <row r="95" spans="1:9" ht="14.45" hidden="1" x14ac:dyDescent="0.35">
      <c r="A95" s="70">
        <f t="shared" si="2"/>
        <v>0</v>
      </c>
      <c r="B95" s="85"/>
      <c r="C95" s="107">
        <f t="shared" ref="C95:I95" si="27">$B95*C42</f>
        <v>0</v>
      </c>
      <c r="D95" s="107">
        <f t="shared" si="27"/>
        <v>0</v>
      </c>
      <c r="E95" s="107">
        <f t="shared" si="27"/>
        <v>0</v>
      </c>
      <c r="F95" s="107">
        <f t="shared" si="27"/>
        <v>0</v>
      </c>
      <c r="G95" s="107">
        <f t="shared" si="27"/>
        <v>0</v>
      </c>
      <c r="H95" s="107">
        <f t="shared" si="27"/>
        <v>0</v>
      </c>
      <c r="I95" s="107">
        <f t="shared" si="27"/>
        <v>0</v>
      </c>
    </row>
    <row r="96" spans="1:9" ht="14.45" hidden="1" x14ac:dyDescent="0.35">
      <c r="A96" s="70">
        <f t="shared" si="2"/>
        <v>0</v>
      </c>
      <c r="B96" s="85"/>
      <c r="C96" s="107">
        <f t="shared" ref="C96:I96" si="28">$B96*C43</f>
        <v>0</v>
      </c>
      <c r="D96" s="107">
        <f t="shared" si="28"/>
        <v>0</v>
      </c>
      <c r="E96" s="107">
        <f t="shared" si="28"/>
        <v>0</v>
      </c>
      <c r="F96" s="107">
        <f t="shared" si="28"/>
        <v>0</v>
      </c>
      <c r="G96" s="107">
        <f t="shared" si="28"/>
        <v>0</v>
      </c>
      <c r="H96" s="107">
        <f t="shared" si="28"/>
        <v>0</v>
      </c>
      <c r="I96" s="107">
        <f t="shared" si="28"/>
        <v>0</v>
      </c>
    </row>
    <row r="97" spans="1:9" ht="14.45" hidden="1" x14ac:dyDescent="0.35">
      <c r="A97" s="70">
        <f t="shared" ref="A97:A114" si="29">A44</f>
        <v>0</v>
      </c>
      <c r="B97" s="85"/>
      <c r="C97" s="107">
        <f t="shared" ref="C97:I97" si="30">$B97*C44</f>
        <v>0</v>
      </c>
      <c r="D97" s="107">
        <f t="shared" si="30"/>
        <v>0</v>
      </c>
      <c r="E97" s="107">
        <f t="shared" si="30"/>
        <v>0</v>
      </c>
      <c r="F97" s="107">
        <f t="shared" si="30"/>
        <v>0</v>
      </c>
      <c r="G97" s="107">
        <f t="shared" si="30"/>
        <v>0</v>
      </c>
      <c r="H97" s="107">
        <f t="shared" si="30"/>
        <v>0</v>
      </c>
      <c r="I97" s="107">
        <f t="shared" si="30"/>
        <v>0</v>
      </c>
    </row>
    <row r="98" spans="1:9" ht="14.45" hidden="1" x14ac:dyDescent="0.35">
      <c r="A98" s="70">
        <f t="shared" si="29"/>
        <v>0</v>
      </c>
      <c r="B98" s="85"/>
      <c r="C98" s="107">
        <f t="shared" ref="C98:I98" si="31">$B98*C45</f>
        <v>0</v>
      </c>
      <c r="D98" s="107">
        <f t="shared" si="31"/>
        <v>0</v>
      </c>
      <c r="E98" s="107">
        <f t="shared" si="31"/>
        <v>0</v>
      </c>
      <c r="F98" s="107">
        <f t="shared" si="31"/>
        <v>0</v>
      </c>
      <c r="G98" s="107">
        <f t="shared" si="31"/>
        <v>0</v>
      </c>
      <c r="H98" s="107">
        <f t="shared" si="31"/>
        <v>0</v>
      </c>
      <c r="I98" s="107">
        <f t="shared" si="31"/>
        <v>0</v>
      </c>
    </row>
    <row r="99" spans="1:9" ht="14.45" hidden="1" x14ac:dyDescent="0.35">
      <c r="A99" s="70" t="str">
        <f t="shared" si="29"/>
        <v>Onion</v>
      </c>
      <c r="B99" s="85"/>
      <c r="C99" s="107">
        <f t="shared" ref="C99:I99" si="32">$B99*C46</f>
        <v>0</v>
      </c>
      <c r="D99" s="107">
        <f t="shared" si="32"/>
        <v>0</v>
      </c>
      <c r="E99" s="107">
        <f t="shared" si="32"/>
        <v>0</v>
      </c>
      <c r="F99" s="107">
        <f t="shared" si="32"/>
        <v>0</v>
      </c>
      <c r="G99" s="107">
        <f t="shared" si="32"/>
        <v>0</v>
      </c>
      <c r="H99" s="107">
        <f t="shared" si="32"/>
        <v>0</v>
      </c>
      <c r="I99" s="107">
        <f t="shared" si="32"/>
        <v>0</v>
      </c>
    </row>
    <row r="100" spans="1:9" ht="14.45" hidden="1" x14ac:dyDescent="0.35">
      <c r="A100" s="70" t="str">
        <f t="shared" si="29"/>
        <v>Tomato</v>
      </c>
      <c r="B100" s="85"/>
      <c r="C100" s="107">
        <f t="shared" ref="C100:I100" si="33">$B100*C47</f>
        <v>0</v>
      </c>
      <c r="D100" s="107">
        <f t="shared" si="33"/>
        <v>0</v>
      </c>
      <c r="E100" s="107">
        <f t="shared" si="33"/>
        <v>0</v>
      </c>
      <c r="F100" s="107">
        <f t="shared" si="33"/>
        <v>0</v>
      </c>
      <c r="G100" s="107">
        <f t="shared" si="33"/>
        <v>0</v>
      </c>
      <c r="H100" s="107">
        <f t="shared" si="33"/>
        <v>0</v>
      </c>
      <c r="I100" s="107">
        <f t="shared" si="33"/>
        <v>0</v>
      </c>
    </row>
    <row r="101" spans="1:9" ht="14.45" hidden="1" x14ac:dyDescent="0.35">
      <c r="A101" s="70" t="str">
        <f t="shared" si="29"/>
        <v>Okra</v>
      </c>
      <c r="B101" s="85"/>
      <c r="C101" s="107">
        <f t="shared" ref="C101:I101" si="34">$B101*C48</f>
        <v>0</v>
      </c>
      <c r="D101" s="107">
        <f t="shared" si="34"/>
        <v>0</v>
      </c>
      <c r="E101" s="107">
        <f t="shared" si="34"/>
        <v>0</v>
      </c>
      <c r="F101" s="107">
        <f t="shared" si="34"/>
        <v>0</v>
      </c>
      <c r="G101" s="107">
        <f t="shared" si="34"/>
        <v>0</v>
      </c>
      <c r="H101" s="107">
        <f t="shared" si="34"/>
        <v>0</v>
      </c>
      <c r="I101" s="107">
        <f t="shared" si="34"/>
        <v>0</v>
      </c>
    </row>
    <row r="102" spans="1:9" ht="14.45" hidden="1" x14ac:dyDescent="0.35">
      <c r="A102" s="70" t="str">
        <f t="shared" si="29"/>
        <v>Chilli</v>
      </c>
      <c r="B102" s="85"/>
      <c r="C102" s="107">
        <f t="shared" ref="C102:I102" si="35">$B102*C49</f>
        <v>0</v>
      </c>
      <c r="D102" s="107">
        <f t="shared" si="35"/>
        <v>0</v>
      </c>
      <c r="E102" s="107">
        <f t="shared" si="35"/>
        <v>0</v>
      </c>
      <c r="F102" s="107">
        <f t="shared" si="35"/>
        <v>0</v>
      </c>
      <c r="G102" s="107">
        <f t="shared" si="35"/>
        <v>0</v>
      </c>
      <c r="H102" s="107">
        <f t="shared" si="35"/>
        <v>0</v>
      </c>
      <c r="I102" s="107">
        <f t="shared" si="35"/>
        <v>0</v>
      </c>
    </row>
    <row r="103" spans="1:9" ht="14.45" hidden="1" x14ac:dyDescent="0.35">
      <c r="A103" s="70" t="str">
        <f t="shared" si="29"/>
        <v>Brinjal</v>
      </c>
      <c r="B103" s="85"/>
      <c r="C103" s="107">
        <f t="shared" ref="C103:I103" si="36">$B103*C50</f>
        <v>0</v>
      </c>
      <c r="D103" s="107">
        <f t="shared" si="36"/>
        <v>0</v>
      </c>
      <c r="E103" s="107">
        <f t="shared" si="36"/>
        <v>0</v>
      </c>
      <c r="F103" s="107">
        <f t="shared" si="36"/>
        <v>0</v>
      </c>
      <c r="G103" s="107">
        <f t="shared" si="36"/>
        <v>0</v>
      </c>
      <c r="H103" s="107">
        <f t="shared" si="36"/>
        <v>0</v>
      </c>
      <c r="I103" s="107">
        <f t="shared" si="36"/>
        <v>0</v>
      </c>
    </row>
    <row r="104" spans="1:9" ht="14.45" hidden="1" x14ac:dyDescent="0.35">
      <c r="A104" s="70">
        <f t="shared" si="29"/>
        <v>0</v>
      </c>
      <c r="B104" s="85"/>
      <c r="C104" s="107">
        <f t="shared" ref="C104:I104" si="37">$B104*C51</f>
        <v>0</v>
      </c>
      <c r="D104" s="107">
        <f t="shared" si="37"/>
        <v>0</v>
      </c>
      <c r="E104" s="107">
        <f t="shared" si="37"/>
        <v>0</v>
      </c>
      <c r="F104" s="107">
        <f t="shared" si="37"/>
        <v>0</v>
      </c>
      <c r="G104" s="107">
        <f t="shared" si="37"/>
        <v>0</v>
      </c>
      <c r="H104" s="107">
        <f t="shared" si="37"/>
        <v>0</v>
      </c>
      <c r="I104" s="107">
        <f t="shared" si="37"/>
        <v>0</v>
      </c>
    </row>
    <row r="105" spans="1:9" ht="14.45" hidden="1" x14ac:dyDescent="0.35">
      <c r="A105" s="70">
        <f t="shared" si="29"/>
        <v>0</v>
      </c>
      <c r="B105" s="85"/>
      <c r="C105" s="107">
        <f t="shared" ref="C105:I105" si="38">$B105*C52</f>
        <v>0</v>
      </c>
      <c r="D105" s="107">
        <f t="shared" si="38"/>
        <v>0</v>
      </c>
      <c r="E105" s="107">
        <f t="shared" si="38"/>
        <v>0</v>
      </c>
      <c r="F105" s="107">
        <f t="shared" si="38"/>
        <v>0</v>
      </c>
      <c r="G105" s="107">
        <f t="shared" si="38"/>
        <v>0</v>
      </c>
      <c r="H105" s="107">
        <f t="shared" si="38"/>
        <v>0</v>
      </c>
      <c r="I105" s="107">
        <f t="shared" si="38"/>
        <v>0</v>
      </c>
    </row>
    <row r="106" spans="1:9" ht="14.45" hidden="1" x14ac:dyDescent="0.35">
      <c r="A106" s="70">
        <f t="shared" si="29"/>
        <v>0</v>
      </c>
      <c r="B106" s="85"/>
      <c r="C106" s="107">
        <f t="shared" ref="C106:I106" si="39">$B106*C53</f>
        <v>0</v>
      </c>
      <c r="D106" s="107">
        <f t="shared" si="39"/>
        <v>0</v>
      </c>
      <c r="E106" s="107">
        <f t="shared" si="39"/>
        <v>0</v>
      </c>
      <c r="F106" s="107">
        <f t="shared" si="39"/>
        <v>0</v>
      </c>
      <c r="G106" s="107">
        <f t="shared" si="39"/>
        <v>0</v>
      </c>
      <c r="H106" s="107">
        <f t="shared" si="39"/>
        <v>0</v>
      </c>
      <c r="I106" s="107">
        <f t="shared" si="39"/>
        <v>0</v>
      </c>
    </row>
    <row r="107" spans="1:9" ht="14.45" hidden="1" x14ac:dyDescent="0.35">
      <c r="A107" s="70">
        <f t="shared" si="29"/>
        <v>0</v>
      </c>
      <c r="B107" s="85"/>
      <c r="C107" s="107">
        <f t="shared" ref="C107:I107" si="40">$B107*C54</f>
        <v>0</v>
      </c>
      <c r="D107" s="107">
        <f t="shared" si="40"/>
        <v>0</v>
      </c>
      <c r="E107" s="107">
        <f t="shared" si="40"/>
        <v>0</v>
      </c>
      <c r="F107" s="107">
        <f t="shared" si="40"/>
        <v>0</v>
      </c>
      <c r="G107" s="107">
        <f t="shared" si="40"/>
        <v>0</v>
      </c>
      <c r="H107" s="107">
        <f t="shared" si="40"/>
        <v>0</v>
      </c>
      <c r="I107" s="107">
        <f t="shared" si="40"/>
        <v>0</v>
      </c>
    </row>
    <row r="108" spans="1:9" ht="14.45" hidden="1" x14ac:dyDescent="0.35">
      <c r="A108" s="70">
        <f t="shared" si="29"/>
        <v>0</v>
      </c>
      <c r="B108" s="85"/>
      <c r="C108" s="107">
        <f t="shared" ref="C108:I108" si="41">$B108*C55</f>
        <v>0</v>
      </c>
      <c r="D108" s="107">
        <f t="shared" si="41"/>
        <v>0</v>
      </c>
      <c r="E108" s="107">
        <f t="shared" si="41"/>
        <v>0</v>
      </c>
      <c r="F108" s="107">
        <f t="shared" si="41"/>
        <v>0</v>
      </c>
      <c r="G108" s="107">
        <f t="shared" si="41"/>
        <v>0</v>
      </c>
      <c r="H108" s="107">
        <f t="shared" si="41"/>
        <v>0</v>
      </c>
      <c r="I108" s="107">
        <f t="shared" si="41"/>
        <v>0</v>
      </c>
    </row>
    <row r="109" spans="1:9" ht="14.45" hidden="1" x14ac:dyDescent="0.35">
      <c r="A109" s="70">
        <f t="shared" si="29"/>
        <v>0</v>
      </c>
      <c r="B109" s="85"/>
      <c r="C109" s="107">
        <f t="shared" ref="C109:I109" si="42">$B109*C56</f>
        <v>0</v>
      </c>
      <c r="D109" s="107">
        <f t="shared" si="42"/>
        <v>0</v>
      </c>
      <c r="E109" s="107">
        <f t="shared" si="42"/>
        <v>0</v>
      </c>
      <c r="F109" s="107">
        <f t="shared" si="42"/>
        <v>0</v>
      </c>
      <c r="G109" s="107">
        <f t="shared" si="42"/>
        <v>0</v>
      </c>
      <c r="H109" s="107">
        <f t="shared" si="42"/>
        <v>0</v>
      </c>
      <c r="I109" s="107">
        <f t="shared" si="42"/>
        <v>0</v>
      </c>
    </row>
    <row r="110" spans="1:9" ht="14.45" hidden="1" x14ac:dyDescent="0.35">
      <c r="A110" s="70">
        <f t="shared" si="29"/>
        <v>0</v>
      </c>
      <c r="B110" s="85"/>
      <c r="C110" s="107">
        <f t="shared" ref="C110:I110" si="43">$B110*C57</f>
        <v>0</v>
      </c>
      <c r="D110" s="107">
        <f t="shared" si="43"/>
        <v>0</v>
      </c>
      <c r="E110" s="107">
        <f t="shared" si="43"/>
        <v>0</v>
      </c>
      <c r="F110" s="107">
        <f t="shared" si="43"/>
        <v>0</v>
      </c>
      <c r="G110" s="107">
        <f t="shared" si="43"/>
        <v>0</v>
      </c>
      <c r="H110" s="107">
        <f t="shared" si="43"/>
        <v>0</v>
      </c>
      <c r="I110" s="107">
        <f t="shared" si="43"/>
        <v>0</v>
      </c>
    </row>
    <row r="111" spans="1:9" ht="14.45" hidden="1" x14ac:dyDescent="0.35">
      <c r="A111" s="70" t="str">
        <f t="shared" si="29"/>
        <v>Pomegranate</v>
      </c>
      <c r="B111" s="85"/>
      <c r="C111" s="107">
        <f t="shared" ref="C111:I111" si="44">$B111*C58</f>
        <v>0</v>
      </c>
      <c r="D111" s="107">
        <f t="shared" si="44"/>
        <v>0</v>
      </c>
      <c r="E111" s="107">
        <f t="shared" si="44"/>
        <v>0</v>
      </c>
      <c r="F111" s="107">
        <f t="shared" si="44"/>
        <v>0</v>
      </c>
      <c r="G111" s="107">
        <f t="shared" si="44"/>
        <v>0</v>
      </c>
      <c r="H111" s="107">
        <f t="shared" si="44"/>
        <v>0</v>
      </c>
      <c r="I111" s="107">
        <f t="shared" si="44"/>
        <v>0</v>
      </c>
    </row>
    <row r="112" spans="1:9" ht="14.45" hidden="1" x14ac:dyDescent="0.35">
      <c r="A112" s="70" t="str">
        <f t="shared" si="29"/>
        <v>Custard Apple</v>
      </c>
      <c r="B112" s="85"/>
      <c r="C112" s="107">
        <f t="shared" ref="C112:I112" si="45">$B112*C59</f>
        <v>0</v>
      </c>
      <c r="D112" s="107">
        <f t="shared" si="45"/>
        <v>0</v>
      </c>
      <c r="E112" s="107">
        <f t="shared" si="45"/>
        <v>0</v>
      </c>
      <c r="F112" s="107">
        <f t="shared" si="45"/>
        <v>0</v>
      </c>
      <c r="G112" s="107">
        <f t="shared" si="45"/>
        <v>0</v>
      </c>
      <c r="H112" s="107">
        <f t="shared" si="45"/>
        <v>0</v>
      </c>
      <c r="I112" s="107">
        <f t="shared" si="45"/>
        <v>0</v>
      </c>
    </row>
    <row r="113" spans="1:10" ht="14.45" hidden="1" x14ac:dyDescent="0.35">
      <c r="A113" s="70" t="str">
        <f t="shared" si="29"/>
        <v>Guava</v>
      </c>
      <c r="B113" s="85"/>
      <c r="C113" s="107">
        <f t="shared" ref="C113:I113" si="46">$B113*C60</f>
        <v>0</v>
      </c>
      <c r="D113" s="107">
        <f t="shared" si="46"/>
        <v>0</v>
      </c>
      <c r="E113" s="107">
        <f t="shared" si="46"/>
        <v>0</v>
      </c>
      <c r="F113" s="107">
        <f t="shared" si="46"/>
        <v>0</v>
      </c>
      <c r="G113" s="107">
        <f t="shared" si="46"/>
        <v>0</v>
      </c>
      <c r="H113" s="107">
        <f t="shared" si="46"/>
        <v>0</v>
      </c>
      <c r="I113" s="107">
        <f t="shared" si="46"/>
        <v>0</v>
      </c>
    </row>
    <row r="114" spans="1:10" ht="14.45" hidden="1" x14ac:dyDescent="0.35">
      <c r="A114" s="70" t="str">
        <f t="shared" si="29"/>
        <v>Citrus</v>
      </c>
      <c r="B114" s="85"/>
      <c r="C114" s="107">
        <f t="shared" ref="C114:I114" si="47">$B114*C61</f>
        <v>0</v>
      </c>
      <c r="D114" s="107">
        <f t="shared" si="47"/>
        <v>0</v>
      </c>
      <c r="E114" s="107">
        <f t="shared" si="47"/>
        <v>0</v>
      </c>
      <c r="F114" s="107">
        <f t="shared" si="47"/>
        <v>0</v>
      </c>
      <c r="G114" s="107">
        <f t="shared" si="47"/>
        <v>0</v>
      </c>
      <c r="H114" s="107">
        <f t="shared" si="47"/>
        <v>0</v>
      </c>
      <c r="I114" s="107">
        <f t="shared" si="47"/>
        <v>0</v>
      </c>
    </row>
    <row r="115" spans="1:10" ht="14.45" x14ac:dyDescent="0.35">
      <c r="A115" s="70"/>
      <c r="B115" s="85"/>
      <c r="C115" s="107"/>
      <c r="D115" s="107"/>
      <c r="E115" s="107"/>
      <c r="F115" s="107"/>
      <c r="G115" s="107"/>
      <c r="H115" s="107"/>
      <c r="I115" s="107"/>
    </row>
    <row r="116" spans="1:10" ht="14.45" x14ac:dyDescent="0.35">
      <c r="A116" s="70"/>
      <c r="B116" s="85"/>
      <c r="C116" s="107"/>
      <c r="D116" s="107"/>
      <c r="E116" s="107"/>
      <c r="F116" s="107"/>
      <c r="G116" s="107"/>
      <c r="H116" s="107"/>
      <c r="I116" s="107"/>
    </row>
    <row r="117" spans="1:10" ht="14.45" x14ac:dyDescent="0.35">
      <c r="A117" s="83" t="s">
        <v>723</v>
      </c>
      <c r="B117" s="70"/>
      <c r="C117" s="70"/>
      <c r="D117" s="70"/>
      <c r="E117" s="70"/>
      <c r="F117" s="70"/>
      <c r="G117" s="70"/>
      <c r="H117" s="70"/>
      <c r="I117" s="70"/>
    </row>
    <row r="118" spans="1:10" x14ac:dyDescent="0.25">
      <c r="A118" s="70" t="s">
        <v>724</v>
      </c>
      <c r="B118" s="85"/>
      <c r="C118" s="107">
        <f>C68*100*0.99</f>
        <v>135828</v>
      </c>
      <c r="D118" s="107">
        <f t="shared" ref="D118:I118" si="48">D68*100*0.99</f>
        <v>162993.60000000001</v>
      </c>
      <c r="E118" s="107">
        <f t="shared" si="48"/>
        <v>190159.2</v>
      </c>
      <c r="F118" s="107">
        <f t="shared" si="48"/>
        <v>217324.79999999996</v>
      </c>
      <c r="G118" s="107">
        <f t="shared" si="48"/>
        <v>244490.4</v>
      </c>
      <c r="H118" s="107">
        <f t="shared" si="48"/>
        <v>271655.99999999994</v>
      </c>
      <c r="I118" s="107">
        <f t="shared" si="48"/>
        <v>298821.59999999992</v>
      </c>
    </row>
    <row r="119" spans="1:10" x14ac:dyDescent="0.25">
      <c r="A119" s="70" t="s">
        <v>725</v>
      </c>
      <c r="B119" s="85"/>
      <c r="C119" s="107">
        <f>C75*100*0.99</f>
        <v>162993.60000000001</v>
      </c>
      <c r="D119" s="107">
        <f t="shared" ref="D119:I119" si="49">D75*100*0.99</f>
        <v>195592.32000000001</v>
      </c>
      <c r="E119" s="107">
        <f t="shared" si="49"/>
        <v>228191.04</v>
      </c>
      <c r="F119" s="107">
        <f t="shared" si="49"/>
        <v>260789.76000000001</v>
      </c>
      <c r="G119" s="107">
        <f t="shared" si="49"/>
        <v>293388.48</v>
      </c>
      <c r="H119" s="107">
        <f t="shared" si="49"/>
        <v>325987.20000000001</v>
      </c>
      <c r="I119" s="107">
        <f t="shared" si="49"/>
        <v>358585.92</v>
      </c>
    </row>
    <row r="120" spans="1:10" x14ac:dyDescent="0.25">
      <c r="A120" s="70" t="s">
        <v>726</v>
      </c>
      <c r="B120" s="85"/>
      <c r="C120" s="107">
        <f>C77*100*0.99</f>
        <v>162993.60000000001</v>
      </c>
      <c r="D120" s="107">
        <f t="shared" ref="D120:I120" si="50">D77*100*0.99</f>
        <v>195592.32000000001</v>
      </c>
      <c r="E120" s="107">
        <f t="shared" si="50"/>
        <v>228191.04</v>
      </c>
      <c r="F120" s="107">
        <f t="shared" si="50"/>
        <v>260789.76000000001</v>
      </c>
      <c r="G120" s="107">
        <f t="shared" si="50"/>
        <v>293388.48</v>
      </c>
      <c r="H120" s="107">
        <f t="shared" si="50"/>
        <v>325987.20000000001</v>
      </c>
      <c r="I120" s="107">
        <f t="shared" si="50"/>
        <v>358585.92</v>
      </c>
    </row>
    <row r="121" spans="1:10" x14ac:dyDescent="0.25">
      <c r="A121" s="70"/>
      <c r="B121" s="85"/>
      <c r="C121" s="70"/>
      <c r="D121" s="70"/>
      <c r="E121" s="70"/>
      <c r="F121" s="70"/>
      <c r="G121" s="70"/>
      <c r="H121" s="70"/>
      <c r="I121" s="70"/>
    </row>
    <row r="122" spans="1:10" x14ac:dyDescent="0.25">
      <c r="A122" s="70"/>
      <c r="B122" s="85"/>
      <c r="C122" s="107"/>
      <c r="D122" s="107"/>
      <c r="E122" s="107"/>
      <c r="F122" s="107"/>
      <c r="G122" s="107"/>
      <c r="H122" s="107"/>
      <c r="I122" s="107"/>
    </row>
    <row r="123" spans="1:10" x14ac:dyDescent="0.25">
      <c r="A123" s="70"/>
      <c r="B123" s="85"/>
      <c r="C123" s="107"/>
      <c r="D123" s="107"/>
      <c r="E123" s="107"/>
      <c r="F123" s="107"/>
      <c r="G123" s="107"/>
      <c r="H123" s="107"/>
      <c r="I123" s="107"/>
    </row>
    <row r="126" spans="1:10" x14ac:dyDescent="0.25">
      <c r="A126" s="427" t="s">
        <v>549</v>
      </c>
      <c r="B126" s="427"/>
      <c r="C126" s="427"/>
      <c r="D126" s="427"/>
      <c r="E126" s="427"/>
      <c r="F126" s="427"/>
      <c r="G126" s="427"/>
      <c r="H126" s="427"/>
      <c r="I126" s="427"/>
      <c r="J126" s="427"/>
    </row>
    <row r="127" spans="1:10" x14ac:dyDescent="0.25">
      <c r="A127" s="96"/>
      <c r="B127" s="96"/>
      <c r="C127" s="96"/>
      <c r="D127" s="96"/>
      <c r="E127" s="96"/>
      <c r="F127" s="96"/>
      <c r="G127" s="96"/>
      <c r="H127" s="96"/>
    </row>
    <row r="128" spans="1:10" x14ac:dyDescent="0.25">
      <c r="A128" s="96"/>
      <c r="B128" s="96"/>
      <c r="C128" s="96"/>
      <c r="D128" s="108">
        <v>1</v>
      </c>
      <c r="E128" s="109">
        <f>(D128*5%)+D128</f>
        <v>1.05</v>
      </c>
      <c r="F128" s="109">
        <f t="shared" ref="F128:J128" si="51">(E128*5%)+E128</f>
        <v>1.1025</v>
      </c>
      <c r="G128" s="109">
        <f t="shared" si="51"/>
        <v>1.1576250000000001</v>
      </c>
      <c r="H128" s="109">
        <f t="shared" si="51"/>
        <v>1.2155062500000002</v>
      </c>
      <c r="I128" s="109">
        <f t="shared" si="51"/>
        <v>1.2762815625000004</v>
      </c>
      <c r="J128" s="109">
        <f t="shared" si="51"/>
        <v>1.3400956406250004</v>
      </c>
    </row>
    <row r="130" spans="1:10" x14ac:dyDescent="0.25">
      <c r="A130" s="76" t="s">
        <v>0</v>
      </c>
      <c r="B130" s="76" t="s">
        <v>132</v>
      </c>
      <c r="C130" s="76" t="s">
        <v>150</v>
      </c>
      <c r="D130" s="77" t="s">
        <v>2</v>
      </c>
      <c r="E130" s="77" t="s">
        <v>3</v>
      </c>
      <c r="F130" s="77" t="s">
        <v>4</v>
      </c>
      <c r="G130" s="77" t="s">
        <v>5</v>
      </c>
      <c r="H130" s="77" t="s">
        <v>6</v>
      </c>
      <c r="I130" s="77" t="s">
        <v>166</v>
      </c>
      <c r="J130" s="77" t="s">
        <v>165</v>
      </c>
    </row>
    <row r="131" spans="1:10" x14ac:dyDescent="0.25">
      <c r="A131" s="78" t="s">
        <v>126</v>
      </c>
      <c r="B131" s="47"/>
      <c r="C131" s="47"/>
      <c r="D131" s="47"/>
      <c r="E131" s="47"/>
      <c r="F131" s="47"/>
      <c r="G131" s="47"/>
      <c r="H131" s="47"/>
      <c r="I131" s="47"/>
      <c r="J131" s="47"/>
    </row>
    <row r="132" spans="1:10" x14ac:dyDescent="0.25">
      <c r="A132" s="47" t="str">
        <f>A118</f>
        <v>Bajra Flour</v>
      </c>
      <c r="B132" s="47" t="s">
        <v>727</v>
      </c>
      <c r="C132" s="97">
        <v>25</v>
      </c>
      <c r="D132" s="82">
        <f>(C118*(1-'5.Closing Stock &amp; W Capital'!$D$15))*$C$132*D128</f>
        <v>3395700</v>
      </c>
      <c r="E132" s="82">
        <f>((D118*(1-'5.Closing Stock &amp; W Capital'!$D$15))+(C118*'5.Closing Stock &amp; W Capital'!$D$15))*$C$132*E128</f>
        <v>4278582</v>
      </c>
      <c r="F132" s="82">
        <f>((E118*(1-'5.Closing Stock &amp; W Capital'!$D$15))+(D118*'5.Closing Stock &amp; W Capital'!$D$15))*$C$132*F128</f>
        <v>5241262.95</v>
      </c>
      <c r="G132" s="82">
        <f>((F118*(1-'5.Closing Stock &amp; W Capital'!$D$15))+(E118*'5.Closing Stock &amp; W Capital'!$D$15))*$C$132*G128</f>
        <v>6289515.54</v>
      </c>
      <c r="H132" s="82">
        <f>((G118*(1-'5.Closing Stock &amp; W Capital'!$D$15))+(F118*'5.Closing Stock &amp; W Capital'!$D$15))*$C$132*H128</f>
        <v>7429490.2316250019</v>
      </c>
      <c r="I132" s="82">
        <f>((H118*(1-'5.Closing Stock &amp; W Capital'!$D$15))+(G118*'5.Closing Stock &amp; W Capital'!$D$15))*$C$132*I128</f>
        <v>8667738.6035625003</v>
      </c>
      <c r="J132" s="82">
        <f>((I118*(1-'5.Closing Stock &amp; W Capital'!$D$15))+(H118*'5.Closing Stock &amp; W Capital'!$D$15))*$C$132*J128</f>
        <v>10011238.087114688</v>
      </c>
    </row>
    <row r="133" spans="1:10" x14ac:dyDescent="0.25">
      <c r="A133" s="47" t="str">
        <f>A119</f>
        <v>Wheat Flour</v>
      </c>
      <c r="B133" s="47" t="s">
        <v>727</v>
      </c>
      <c r="C133" s="97">
        <v>28</v>
      </c>
      <c r="D133" s="82">
        <f>(C119*(1-'5.Closing Stock &amp; W Capital'!$D$15))*$C$133*D128</f>
        <v>4563820.8</v>
      </c>
      <c r="E133" s="82">
        <f>((D119*(1-'5.Closing Stock &amp; W Capital'!$D$15))+(C119*'5.Closing Stock &amp; W Capital'!$D$15))*$C$133*E128</f>
        <v>5750414.2080000006</v>
      </c>
      <c r="F133" s="82">
        <f>((E119*(1-'5.Closing Stock &amp; W Capital'!$D$15))+(D119*'5.Closing Stock &amp; W Capital'!$D$15))*$C$133*F128</f>
        <v>7044257.4048000006</v>
      </c>
      <c r="G133" s="82">
        <f>((F119*(1-'5.Closing Stock &amp; W Capital'!$D$15))+(E119*'5.Closing Stock &amp; W Capital'!$D$15))*$C$133*G128</f>
        <v>8453108.8857600018</v>
      </c>
      <c r="H133" s="82">
        <f>((G119*(1-'5.Closing Stock &amp; W Capital'!$D$15))+(F119*'5.Closing Stock &amp; W Capital'!$D$15))*$C$133*H128</f>
        <v>9985234.8713040017</v>
      </c>
      <c r="I133" s="82">
        <f>((H119*(1-'5.Closing Stock &amp; W Capital'!$D$15))+(G119*'5.Closing Stock &amp; W Capital'!$D$15))*$C$133*I128</f>
        <v>11649440.683188003</v>
      </c>
      <c r="J133" s="82">
        <f>((I119*(1-'5.Closing Stock &amp; W Capital'!$D$15))+(H119*'5.Closing Stock &amp; W Capital'!$D$15))*$C$133*J128</f>
        <v>13455103.989082145</v>
      </c>
    </row>
    <row r="134" spans="1:10" x14ac:dyDescent="0.25">
      <c r="A134" s="47" t="str">
        <f>A120</f>
        <v>Jawar Flour</v>
      </c>
      <c r="B134" s="47" t="s">
        <v>727</v>
      </c>
      <c r="C134" s="97">
        <v>35</v>
      </c>
      <c r="D134" s="82">
        <f>(C120*(1-'5.Closing Stock &amp; W Capital'!$D$15))*$C$134*D128</f>
        <v>5704776</v>
      </c>
      <c r="E134" s="82">
        <f>((D120*(1-'5.Closing Stock &amp; W Capital'!$D$15))+(C120*'5.Closing Stock &amp; W Capital'!$D$15))*$C$134*E128</f>
        <v>7188017.7600000007</v>
      </c>
      <c r="F134" s="82">
        <f>((E120*(1-'5.Closing Stock &amp; W Capital'!$D$15))+(D120*'5.Closing Stock &amp; W Capital'!$D$15))*$C$134*F128</f>
        <v>8805321.756000001</v>
      </c>
      <c r="G134" s="82">
        <f>((F120*(1-'5.Closing Stock &amp; W Capital'!$D$15))+(E120*'5.Closing Stock &amp; W Capital'!$D$15))*$C$134*G128</f>
        <v>10566386.1072</v>
      </c>
      <c r="H134" s="82">
        <f>((G120*(1-'5.Closing Stock &amp; W Capital'!$D$15))+(F120*'5.Closing Stock &amp; W Capital'!$D$15))*$C$134*H128</f>
        <v>12481543.589130001</v>
      </c>
      <c r="I134" s="82">
        <f>((H120*(1-'5.Closing Stock &amp; W Capital'!$D$15))+(G120*'5.Closing Stock &amp; W Capital'!$D$15))*$C$134*I128</f>
        <v>14561800.853985004</v>
      </c>
      <c r="J134" s="82">
        <f>((I120*(1-'5.Closing Stock &amp; W Capital'!$D$15))+(H120*'5.Closing Stock &amp; W Capital'!$D$15))*$C$134*J128</f>
        <v>16818879.986352678</v>
      </c>
    </row>
    <row r="135" spans="1:10" x14ac:dyDescent="0.25">
      <c r="A135" s="47"/>
      <c r="B135" s="47"/>
      <c r="C135" s="82"/>
      <c r="D135" s="82"/>
      <c r="E135" s="82"/>
      <c r="F135" s="82"/>
      <c r="G135" s="82"/>
      <c r="H135" s="82"/>
      <c r="I135" s="82"/>
      <c r="J135" s="82"/>
    </row>
    <row r="136" spans="1:10" x14ac:dyDescent="0.25">
      <c r="A136" s="78" t="s">
        <v>142</v>
      </c>
      <c r="B136" s="78"/>
      <c r="C136" s="84"/>
      <c r="D136" s="84">
        <f t="shared" ref="D136:J136" si="52">SUM(D132:D135)</f>
        <v>13664296.800000001</v>
      </c>
      <c r="E136" s="84">
        <f t="shared" si="52"/>
        <v>17217013.968000002</v>
      </c>
      <c r="F136" s="84">
        <f t="shared" si="52"/>
        <v>21090842.110800002</v>
      </c>
      <c r="G136" s="84">
        <f t="shared" si="52"/>
        <v>25309010.532960001</v>
      </c>
      <c r="H136" s="84">
        <f t="shared" si="52"/>
        <v>29896268.692059003</v>
      </c>
      <c r="I136" s="84">
        <f t="shared" si="52"/>
        <v>34878980.140735507</v>
      </c>
      <c r="J136" s="84">
        <f t="shared" si="52"/>
        <v>40285222.062549517</v>
      </c>
    </row>
    <row r="137" spans="1:10" x14ac:dyDescent="0.25">
      <c r="A137" s="47"/>
      <c r="B137" s="47"/>
      <c r="C137" s="82"/>
      <c r="D137" s="82"/>
      <c r="E137" s="82"/>
      <c r="F137" s="82"/>
      <c r="G137" s="82"/>
      <c r="H137" s="82"/>
      <c r="I137" s="82"/>
      <c r="J137" s="82"/>
    </row>
    <row r="138" spans="1:10" x14ac:dyDescent="0.25">
      <c r="A138" s="78" t="s">
        <v>141</v>
      </c>
      <c r="B138" s="78"/>
      <c r="C138" s="82"/>
      <c r="D138" s="82"/>
      <c r="E138" s="82"/>
      <c r="F138" s="82"/>
      <c r="G138" s="82"/>
      <c r="H138" s="82"/>
      <c r="I138" s="82"/>
      <c r="J138" s="82"/>
    </row>
    <row r="139" spans="1:10" x14ac:dyDescent="0.25">
      <c r="A139" s="110" t="s">
        <v>295</v>
      </c>
    </row>
    <row r="140" spans="1:10" x14ac:dyDescent="0.25">
      <c r="A140" s="47" t="str">
        <f>A68</f>
        <v>Bajra</v>
      </c>
      <c r="B140" s="47" t="s">
        <v>343</v>
      </c>
      <c r="C140" s="97">
        <v>1800</v>
      </c>
      <c r="D140" s="82">
        <f t="shared" ref="D140:J140" si="53">C68*$C$140*D128</f>
        <v>2469600</v>
      </c>
      <c r="E140" s="82">
        <f t="shared" si="53"/>
        <v>3111695.9999999995</v>
      </c>
      <c r="F140" s="82">
        <f t="shared" si="53"/>
        <v>3811827.6</v>
      </c>
      <c r="G140" s="82">
        <f t="shared" si="53"/>
        <v>4574193.12</v>
      </c>
      <c r="H140" s="82">
        <f t="shared" si="53"/>
        <v>5403265.6230000006</v>
      </c>
      <c r="I140" s="82">
        <f t="shared" si="53"/>
        <v>6303809.8935000002</v>
      </c>
      <c r="J140" s="82">
        <f t="shared" si="53"/>
        <v>7280900.4269925011</v>
      </c>
    </row>
    <row r="141" spans="1:10" x14ac:dyDescent="0.25">
      <c r="A141" s="47" t="str">
        <f>A75</f>
        <v>Wheat</v>
      </c>
      <c r="B141" s="47" t="s">
        <v>343</v>
      </c>
      <c r="C141" s="97">
        <v>2000</v>
      </c>
      <c r="D141" s="82">
        <f t="shared" ref="D141:J141" si="54">C75*$C$141*D128</f>
        <v>3292800</v>
      </c>
      <c r="E141" s="82">
        <f t="shared" si="54"/>
        <v>4148928</v>
      </c>
      <c r="F141" s="82">
        <f t="shared" si="54"/>
        <v>5082436.8</v>
      </c>
      <c r="G141" s="82">
        <f t="shared" si="54"/>
        <v>6098924.1600000011</v>
      </c>
      <c r="H141" s="82">
        <f t="shared" si="54"/>
        <v>7204354.1640000017</v>
      </c>
      <c r="I141" s="82">
        <f t="shared" si="54"/>
        <v>8405079.8580000009</v>
      </c>
      <c r="J141" s="82">
        <f t="shared" si="54"/>
        <v>9707867.2359900028</v>
      </c>
    </row>
    <row r="142" spans="1:10" x14ac:dyDescent="0.25">
      <c r="A142" s="47" t="str">
        <f>A77</f>
        <v>Jawar</v>
      </c>
      <c r="B142" s="47" t="s">
        <v>343</v>
      </c>
      <c r="C142" s="97">
        <v>2500</v>
      </c>
      <c r="D142" s="82">
        <f t="shared" ref="D142:J142" si="55">C77*$C$142*D128</f>
        <v>4116000</v>
      </c>
      <c r="E142" s="82">
        <f t="shared" si="55"/>
        <v>5186160</v>
      </c>
      <c r="F142" s="82">
        <f t="shared" si="55"/>
        <v>6353046</v>
      </c>
      <c r="G142" s="82">
        <f t="shared" si="55"/>
        <v>7623655.2000000002</v>
      </c>
      <c r="H142" s="82">
        <f t="shared" si="55"/>
        <v>9005442.7050000019</v>
      </c>
      <c r="I142" s="82">
        <f t="shared" si="55"/>
        <v>10506349.822500002</v>
      </c>
      <c r="J142" s="82">
        <f t="shared" si="55"/>
        <v>12134834.044987503</v>
      </c>
    </row>
    <row r="143" spans="1:10" x14ac:dyDescent="0.25">
      <c r="A143" s="47"/>
      <c r="B143" s="47"/>
      <c r="C143" s="82"/>
      <c r="D143" s="82"/>
      <c r="E143" s="82"/>
      <c r="F143" s="82"/>
      <c r="G143" s="82"/>
      <c r="H143" s="82"/>
      <c r="I143" s="82"/>
      <c r="J143" s="82"/>
    </row>
    <row r="144" spans="1:10" x14ac:dyDescent="0.25">
      <c r="A144" s="47" t="s">
        <v>276</v>
      </c>
      <c r="B144" s="47"/>
      <c r="C144" s="97">
        <v>30</v>
      </c>
      <c r="D144" s="82">
        <f>(SUM(C67:C115))*$C$144*D128</f>
        <v>139944</v>
      </c>
      <c r="E144" s="82">
        <f t="shared" ref="E144:J144" si="56">(SUM(D67:D115))*$C$144*E128</f>
        <v>176329.44000000003</v>
      </c>
      <c r="F144" s="82">
        <f t="shared" si="56"/>
        <v>216003.56400000001</v>
      </c>
      <c r="G144" s="82">
        <f t="shared" si="56"/>
        <v>259204.27680000002</v>
      </c>
      <c r="H144" s="82">
        <f t="shared" si="56"/>
        <v>306185.05197000003</v>
      </c>
      <c r="I144" s="82">
        <f t="shared" si="56"/>
        <v>357215.89396500005</v>
      </c>
      <c r="J144" s="82">
        <f t="shared" si="56"/>
        <v>412584.35752957512</v>
      </c>
    </row>
    <row r="145" spans="1:10" x14ac:dyDescent="0.25">
      <c r="A145" s="47" t="s">
        <v>729</v>
      </c>
      <c r="B145" s="47"/>
      <c r="C145" s="97">
        <v>3</v>
      </c>
      <c r="D145" s="82">
        <f>(SUM(C118:C123))*$C$145*D128</f>
        <v>1385445.5999999999</v>
      </c>
      <c r="E145" s="82">
        <f t="shared" ref="E145:J145" si="57">(SUM(D118:D123))*$C$145*E128</f>
        <v>1745661.456</v>
      </c>
      <c r="F145" s="82">
        <f t="shared" si="57"/>
        <v>2138435.2836000002</v>
      </c>
      <c r="G145" s="82">
        <f t="shared" si="57"/>
        <v>2566122.3403200004</v>
      </c>
      <c r="H145" s="82">
        <f t="shared" si="57"/>
        <v>3031232.0145030008</v>
      </c>
      <c r="I145" s="82">
        <f t="shared" si="57"/>
        <v>3536437.3502535005</v>
      </c>
      <c r="J145" s="82">
        <f t="shared" si="57"/>
        <v>4084585.1395427934</v>
      </c>
    </row>
    <row r="146" spans="1:10" x14ac:dyDescent="0.25">
      <c r="A146" s="47" t="s">
        <v>143</v>
      </c>
      <c r="B146" s="47">
        <f>'2.Capex Details'!H58*0.756*8</f>
        <v>151.19999999999999</v>
      </c>
      <c r="C146" s="97">
        <v>8</v>
      </c>
      <c r="D146" s="111">
        <f>$B$146*$C$146*C11</f>
        <v>141063.552</v>
      </c>
      <c r="E146" s="111">
        <f t="shared" ref="E146:J146" si="58">$B$146*$C$146*D11</f>
        <v>169276.26240000001</v>
      </c>
      <c r="F146" s="111">
        <f t="shared" si="58"/>
        <v>197488.97279999999</v>
      </c>
      <c r="G146" s="111">
        <f t="shared" si="58"/>
        <v>225701.68319999997</v>
      </c>
      <c r="H146" s="111">
        <f t="shared" si="58"/>
        <v>253914.39359999998</v>
      </c>
      <c r="I146" s="111">
        <f t="shared" si="58"/>
        <v>282127.10399999993</v>
      </c>
      <c r="J146" s="111">
        <f t="shared" si="58"/>
        <v>310339.81439999992</v>
      </c>
    </row>
    <row r="147" spans="1:10" ht="14.45" hidden="1" x14ac:dyDescent="0.35">
      <c r="A147" s="47"/>
      <c r="B147" s="47"/>
      <c r="C147" s="97"/>
      <c r="D147" s="111"/>
      <c r="E147" s="82"/>
      <c r="F147" s="82"/>
      <c r="G147" s="82"/>
      <c r="H147" s="82"/>
      <c r="I147" s="82"/>
      <c r="J147" s="82"/>
    </row>
    <row r="148" spans="1:10" ht="14.45" hidden="1" x14ac:dyDescent="0.35">
      <c r="A148" s="47"/>
      <c r="B148" s="47"/>
      <c r="C148" s="97"/>
      <c r="D148" s="111"/>
      <c r="E148" s="82"/>
      <c r="F148" s="82"/>
      <c r="G148" s="82"/>
      <c r="H148" s="82"/>
      <c r="I148" s="82"/>
      <c r="J148" s="82"/>
    </row>
    <row r="149" spans="1:10" ht="14.45" hidden="1" x14ac:dyDescent="0.35">
      <c r="A149" s="47"/>
      <c r="B149" s="47"/>
      <c r="C149" s="97"/>
      <c r="D149" s="111"/>
      <c r="E149" s="82"/>
      <c r="F149" s="82"/>
      <c r="G149" s="82"/>
      <c r="H149" s="82"/>
      <c r="I149" s="82"/>
      <c r="J149" s="82"/>
    </row>
    <row r="150" spans="1:10" ht="14.45" hidden="1" x14ac:dyDescent="0.35">
      <c r="A150" s="47" t="s">
        <v>325</v>
      </c>
      <c r="B150" s="47"/>
      <c r="C150" s="82"/>
      <c r="D150" s="111"/>
      <c r="E150" s="82">
        <f>'5.Closing Stock &amp; W Capital'!F6</f>
        <v>0</v>
      </c>
      <c r="F150" s="82">
        <f>'5.Closing Stock &amp; W Capital'!G6</f>
        <v>0</v>
      </c>
      <c r="G150" s="82">
        <f>'5.Closing Stock &amp; W Capital'!H6</f>
        <v>0</v>
      </c>
      <c r="H150" s="82">
        <f>'5.Closing Stock &amp; W Capital'!I6</f>
        <v>0</v>
      </c>
      <c r="I150" s="82">
        <f>'5.Closing Stock &amp; W Capital'!J6</f>
        <v>0</v>
      </c>
      <c r="J150" s="82">
        <f>'5.Closing Stock &amp; W Capital'!K6</f>
        <v>0</v>
      </c>
    </row>
    <row r="151" spans="1:10" ht="14.45" hidden="1" x14ac:dyDescent="0.35">
      <c r="A151" s="70" t="s">
        <v>326</v>
      </c>
      <c r="B151" s="47"/>
      <c r="C151" s="47"/>
      <c r="D151" s="111">
        <f>'5.Closing Stock &amp; W Capital'!E15</f>
        <v>0</v>
      </c>
      <c r="E151" s="82">
        <f>'5.Closing Stock &amp; W Capital'!F15</f>
        <v>0</v>
      </c>
      <c r="F151" s="82">
        <f>'5.Closing Stock &amp; W Capital'!G15</f>
        <v>0</v>
      </c>
      <c r="G151" s="82">
        <f>'5.Closing Stock &amp; W Capital'!H15</f>
        <v>0</v>
      </c>
      <c r="H151" s="82">
        <f>'5.Closing Stock &amp; W Capital'!I15</f>
        <v>0</v>
      </c>
      <c r="I151" s="82">
        <f>'5.Closing Stock &amp; W Capital'!J15</f>
        <v>0</v>
      </c>
      <c r="J151" s="82">
        <f>'5.Closing Stock &amp; W Capital'!K15</f>
        <v>0</v>
      </c>
    </row>
    <row r="152" spans="1:10" ht="14.45" hidden="1" x14ac:dyDescent="0.35">
      <c r="A152" s="47"/>
      <c r="B152" s="47"/>
      <c r="C152" s="47"/>
    </row>
    <row r="153" spans="1:10" x14ac:dyDescent="0.25">
      <c r="A153" s="78" t="s">
        <v>306</v>
      </c>
      <c r="B153" s="78"/>
      <c r="C153" s="84"/>
      <c r="D153" s="84">
        <f t="shared" ref="D153:J153" si="59">SUM(D140:D149)+D150-D151</f>
        <v>11544853.151999999</v>
      </c>
      <c r="E153" s="84">
        <f t="shared" si="59"/>
        <v>14538051.158399999</v>
      </c>
      <c r="F153" s="84">
        <f t="shared" si="59"/>
        <v>17799238.220400002</v>
      </c>
      <c r="G153" s="84">
        <f t="shared" si="59"/>
        <v>21347800.780320004</v>
      </c>
      <c r="H153" s="84">
        <f t="shared" si="59"/>
        <v>25204393.952073008</v>
      </c>
      <c r="I153" s="84">
        <f t="shared" si="59"/>
        <v>29391019.922218498</v>
      </c>
      <c r="J153" s="84">
        <f t="shared" si="59"/>
        <v>33931111.019442379</v>
      </c>
    </row>
    <row r="154" spans="1:10" x14ac:dyDescent="0.25">
      <c r="A154" s="47"/>
      <c r="B154" s="47"/>
      <c r="C154" s="82"/>
      <c r="D154" s="82"/>
      <c r="E154" s="82"/>
      <c r="F154" s="82"/>
      <c r="G154" s="82"/>
      <c r="H154" s="82"/>
      <c r="I154" s="82"/>
      <c r="J154" s="82"/>
    </row>
    <row r="155" spans="1:10" x14ac:dyDescent="0.25">
      <c r="A155" s="78" t="s">
        <v>293</v>
      </c>
      <c r="B155" s="78"/>
      <c r="C155" s="82"/>
      <c r="D155" s="82"/>
      <c r="E155" s="82"/>
      <c r="F155" s="82"/>
      <c r="G155" s="82"/>
      <c r="H155" s="82"/>
      <c r="I155" s="82"/>
      <c r="J155" s="82"/>
    </row>
    <row r="156" spans="1:10" x14ac:dyDescent="0.25">
      <c r="A156" s="47" t="s">
        <v>176</v>
      </c>
      <c r="B156" s="47">
        <v>2</v>
      </c>
      <c r="C156" s="97">
        <v>10000</v>
      </c>
      <c r="D156" s="82">
        <f t="shared" ref="D156:J156" si="60">$B$156*$C$156*D128</f>
        <v>20000</v>
      </c>
      <c r="E156" s="82">
        <f t="shared" si="60"/>
        <v>21000</v>
      </c>
      <c r="F156" s="82">
        <f t="shared" si="60"/>
        <v>22050</v>
      </c>
      <c r="G156" s="82">
        <f t="shared" si="60"/>
        <v>23152.500000000004</v>
      </c>
      <c r="H156" s="82">
        <f t="shared" si="60"/>
        <v>24310.125000000004</v>
      </c>
      <c r="I156" s="82">
        <f t="shared" si="60"/>
        <v>25525.631250000006</v>
      </c>
      <c r="J156" s="82">
        <f t="shared" si="60"/>
        <v>26801.91281250001</v>
      </c>
    </row>
    <row r="157" spans="1:10" ht="14.45" hidden="1" x14ac:dyDescent="0.35">
      <c r="A157" s="47" t="s">
        <v>311</v>
      </c>
      <c r="B157" s="85">
        <v>1</v>
      </c>
      <c r="C157" s="97"/>
      <c r="D157" s="82">
        <f t="shared" ref="D157:J157" si="61">$B$157*$C$157*12*D128</f>
        <v>0</v>
      </c>
      <c r="E157" s="82">
        <f t="shared" si="61"/>
        <v>0</v>
      </c>
      <c r="F157" s="82">
        <f t="shared" si="61"/>
        <v>0</v>
      </c>
      <c r="G157" s="82">
        <f t="shared" si="61"/>
        <v>0</v>
      </c>
      <c r="H157" s="82">
        <f t="shared" si="61"/>
        <v>0</v>
      </c>
      <c r="I157" s="82">
        <f t="shared" si="61"/>
        <v>0</v>
      </c>
      <c r="J157" s="82">
        <f t="shared" si="61"/>
        <v>0</v>
      </c>
    </row>
    <row r="158" spans="1:10" ht="14.45" hidden="1" x14ac:dyDescent="0.35">
      <c r="A158" s="47" t="s">
        <v>179</v>
      </c>
      <c r="B158" s="85">
        <v>1</v>
      </c>
      <c r="C158" s="97"/>
      <c r="D158" s="82">
        <f t="shared" ref="D158:J158" si="62">$B$158*$C$158*12*D128</f>
        <v>0</v>
      </c>
      <c r="E158" s="82">
        <f t="shared" si="62"/>
        <v>0</v>
      </c>
      <c r="F158" s="82">
        <f t="shared" si="62"/>
        <v>0</v>
      </c>
      <c r="G158" s="82">
        <f t="shared" si="62"/>
        <v>0</v>
      </c>
      <c r="H158" s="82">
        <f t="shared" si="62"/>
        <v>0</v>
      </c>
      <c r="I158" s="82">
        <f t="shared" si="62"/>
        <v>0</v>
      </c>
      <c r="J158" s="82">
        <f t="shared" si="62"/>
        <v>0</v>
      </c>
    </row>
    <row r="159" spans="1:10" x14ac:dyDescent="0.25">
      <c r="A159" s="47" t="s">
        <v>728</v>
      </c>
      <c r="B159" s="47">
        <v>1</v>
      </c>
      <c r="C159" s="97">
        <v>2000</v>
      </c>
      <c r="D159" s="82">
        <f t="shared" ref="D159:J159" si="63">$B$159*$C$159*D128</f>
        <v>2000</v>
      </c>
      <c r="E159" s="82">
        <f t="shared" si="63"/>
        <v>2100</v>
      </c>
      <c r="F159" s="82">
        <f t="shared" si="63"/>
        <v>2205</v>
      </c>
      <c r="G159" s="82">
        <f t="shared" si="63"/>
        <v>2315.2500000000005</v>
      </c>
      <c r="H159" s="82">
        <f t="shared" si="63"/>
        <v>2431.0125000000003</v>
      </c>
      <c r="I159" s="82">
        <f t="shared" si="63"/>
        <v>2552.5631250000006</v>
      </c>
      <c r="J159" s="82">
        <f t="shared" si="63"/>
        <v>2680.1912812500009</v>
      </c>
    </row>
    <row r="160" spans="1:10" ht="14.45" hidden="1" x14ac:dyDescent="0.35">
      <c r="A160" s="47"/>
      <c r="B160" s="47"/>
      <c r="C160" s="97"/>
      <c r="D160" s="82"/>
      <c r="E160" s="82"/>
      <c r="F160" s="82"/>
      <c r="G160" s="82"/>
      <c r="H160" s="82"/>
      <c r="I160" s="82"/>
      <c r="J160" s="82"/>
    </row>
    <row r="161" spans="1:10" ht="14.45" hidden="1" x14ac:dyDescent="0.35">
      <c r="A161" s="47"/>
      <c r="B161" s="47"/>
      <c r="C161" s="97"/>
      <c r="D161" s="82"/>
      <c r="E161" s="82"/>
      <c r="F161" s="82"/>
      <c r="G161" s="82"/>
      <c r="H161" s="82"/>
      <c r="I161" s="82"/>
      <c r="J161" s="82"/>
    </row>
    <row r="162" spans="1:10" ht="14.45" hidden="1" x14ac:dyDescent="0.35">
      <c r="A162" s="47"/>
      <c r="B162" s="47"/>
      <c r="C162" s="97"/>
      <c r="D162" s="82"/>
      <c r="E162" s="82"/>
      <c r="F162" s="82"/>
      <c r="G162" s="82"/>
      <c r="H162" s="82"/>
      <c r="I162" s="82"/>
      <c r="J162" s="82"/>
    </row>
    <row r="163" spans="1:10" ht="14.45" hidden="1" x14ac:dyDescent="0.35">
      <c r="A163" s="47"/>
      <c r="B163" s="47"/>
      <c r="C163" s="97"/>
      <c r="D163" s="82"/>
      <c r="E163" s="82"/>
      <c r="F163" s="82"/>
      <c r="G163" s="82"/>
      <c r="H163" s="82"/>
      <c r="I163" s="82"/>
      <c r="J163" s="82"/>
    </row>
    <row r="164" spans="1:10" x14ac:dyDescent="0.25">
      <c r="A164" s="78" t="s">
        <v>310</v>
      </c>
      <c r="B164" s="78"/>
      <c r="C164" s="84"/>
      <c r="D164" s="84">
        <f>SUM(D156:D163)</f>
        <v>22000</v>
      </c>
      <c r="E164" s="84">
        <f t="shared" ref="E164:J164" si="64">SUM(E156:E163)</f>
        <v>23100</v>
      </c>
      <c r="F164" s="84">
        <f t="shared" si="64"/>
        <v>24255</v>
      </c>
      <c r="G164" s="84">
        <f t="shared" si="64"/>
        <v>25467.750000000004</v>
      </c>
      <c r="H164" s="84">
        <f t="shared" si="64"/>
        <v>26741.137500000004</v>
      </c>
      <c r="I164" s="84">
        <f t="shared" si="64"/>
        <v>28078.194375000006</v>
      </c>
      <c r="J164" s="84">
        <f t="shared" si="64"/>
        <v>29482.104093750011</v>
      </c>
    </row>
    <row r="165" spans="1:10" x14ac:dyDescent="0.25">
      <c r="A165" s="79" t="s">
        <v>135</v>
      </c>
      <c r="B165" s="79"/>
      <c r="C165" s="112"/>
      <c r="D165" s="84">
        <f t="shared" ref="D165:J165" si="65">D153+D164</f>
        <v>11566853.151999999</v>
      </c>
      <c r="E165" s="84">
        <f t="shared" si="65"/>
        <v>14561151.158399999</v>
      </c>
      <c r="F165" s="84">
        <f t="shared" si="65"/>
        <v>17823493.220400002</v>
      </c>
      <c r="G165" s="84">
        <f t="shared" si="65"/>
        <v>21373268.530320004</v>
      </c>
      <c r="H165" s="84">
        <f t="shared" si="65"/>
        <v>25231135.089573007</v>
      </c>
      <c r="I165" s="84">
        <f t="shared" si="65"/>
        <v>29419098.116593499</v>
      </c>
      <c r="J165" s="84">
        <f t="shared" si="65"/>
        <v>33960593.123536132</v>
      </c>
    </row>
    <row r="166" spans="1:10" x14ac:dyDescent="0.25">
      <c r="A166" s="47"/>
      <c r="B166" s="47"/>
      <c r="C166" s="82"/>
      <c r="D166" s="82"/>
      <c r="E166" s="82"/>
      <c r="F166" s="82"/>
      <c r="G166" s="82"/>
      <c r="H166" s="82"/>
      <c r="I166" s="82"/>
      <c r="J166" s="82"/>
    </row>
    <row r="167" spans="1:10" x14ac:dyDescent="0.25">
      <c r="A167" s="79" t="s">
        <v>7</v>
      </c>
      <c r="B167" s="79"/>
      <c r="C167" s="112"/>
      <c r="D167" s="84">
        <f t="shared" ref="D167:J167" si="66">D136-D165</f>
        <v>2097443.6480000019</v>
      </c>
      <c r="E167" s="84">
        <f t="shared" si="66"/>
        <v>2655862.8096000031</v>
      </c>
      <c r="F167" s="84">
        <f t="shared" si="66"/>
        <v>3267348.8903999999</v>
      </c>
      <c r="G167" s="84">
        <f t="shared" si="66"/>
        <v>3935742.0026399978</v>
      </c>
      <c r="H167" s="84">
        <f t="shared" si="66"/>
        <v>4665133.6024859957</v>
      </c>
      <c r="I167" s="84">
        <f t="shared" si="66"/>
        <v>5459882.0241420083</v>
      </c>
      <c r="J167" s="84">
        <f t="shared" si="66"/>
        <v>6324628.9390133843</v>
      </c>
    </row>
    <row r="168" spans="1:10" x14ac:dyDescent="0.25">
      <c r="A168" s="110"/>
      <c r="B168" s="110"/>
      <c r="C168" s="110"/>
    </row>
    <row r="169" spans="1:10" x14ac:dyDescent="0.25">
      <c r="D169" s="100">
        <f>D167/D136</f>
        <v>0.15349810375898756</v>
      </c>
      <c r="E169" s="100">
        <f t="shared" ref="E169:J169" si="67">E167/E136</f>
        <v>0.15425803885251299</v>
      </c>
      <c r="F169" s="100">
        <f t="shared" si="67"/>
        <v>0.15491789627152375</v>
      </c>
      <c r="G169" s="100">
        <f t="shared" si="67"/>
        <v>0.15550754137600398</v>
      </c>
      <c r="H169" s="100">
        <f t="shared" si="67"/>
        <v>0.15604400838574015</v>
      </c>
      <c r="I169" s="100">
        <f t="shared" si="67"/>
        <v>0.15653789193696516</v>
      </c>
      <c r="J169" s="100">
        <f t="shared" si="67"/>
        <v>0.15699625359377056</v>
      </c>
    </row>
    <row r="170" spans="1:10" x14ac:dyDescent="0.25">
      <c r="A170" s="427" t="s">
        <v>395</v>
      </c>
      <c r="B170" s="427"/>
      <c r="C170" s="427"/>
      <c r="D170" s="427"/>
      <c r="E170" s="427"/>
      <c r="F170" s="427"/>
      <c r="G170" s="427"/>
      <c r="H170" s="427"/>
      <c r="I170" s="427"/>
      <c r="J170" s="427"/>
    </row>
    <row r="172" spans="1:10" x14ac:dyDescent="0.25">
      <c r="A172" s="39" t="s">
        <v>491</v>
      </c>
    </row>
    <row r="173" spans="1:10" x14ac:dyDescent="0.25">
      <c r="A173" s="39">
        <v>1</v>
      </c>
      <c r="B173" s="39" t="s">
        <v>504</v>
      </c>
    </row>
    <row r="174" spans="1:10" x14ac:dyDescent="0.25">
      <c r="A174" s="39">
        <v>2</v>
      </c>
      <c r="B174" s="39" t="s">
        <v>505</v>
      </c>
    </row>
    <row r="175" spans="1:10" x14ac:dyDescent="0.25">
      <c r="A175" s="39">
        <v>3</v>
      </c>
      <c r="B175" s="39" t="s">
        <v>554</v>
      </c>
    </row>
  </sheetData>
  <mergeCells count="4">
    <mergeCell ref="A126:J126"/>
    <mergeCell ref="A2:I2"/>
    <mergeCell ref="A170:J170"/>
    <mergeCell ref="A3:H3"/>
  </mergeCells>
  <pageMargins left="0.7" right="0.7" top="0.75" bottom="0.75" header="0.3" footer="0.3"/>
  <pageSetup scale="6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topLeftCell="A26" workbookViewId="0">
      <selection activeCell="I28" sqref="I28"/>
    </sheetView>
  </sheetViews>
  <sheetFormatPr defaultColWidth="8.7109375" defaultRowHeight="15" x14ac:dyDescent="0.25"/>
  <cols>
    <col min="1" max="1" width="30.5703125" style="39" bestFit="1" customWidth="1"/>
    <col min="2" max="2" width="7.140625" style="39" bestFit="1" customWidth="1"/>
    <col min="3" max="3" width="11.140625" style="39" customWidth="1"/>
    <col min="4" max="4" width="11.5703125" style="39" bestFit="1" customWidth="1"/>
    <col min="5" max="10" width="11.28515625" style="39" bestFit="1" customWidth="1"/>
    <col min="11" max="16384" width="8.7109375" style="39"/>
  </cols>
  <sheetData>
    <row r="2" spans="1:10" ht="14.45" x14ac:dyDescent="0.35">
      <c r="A2" s="501" t="s">
        <v>543</v>
      </c>
      <c r="B2" s="501"/>
      <c r="C2" s="501"/>
      <c r="D2" s="501"/>
      <c r="E2" s="501"/>
      <c r="F2" s="501"/>
      <c r="G2" s="501"/>
      <c r="H2" s="501"/>
    </row>
    <row r="3" spans="1:10" ht="14.45" x14ac:dyDescent="0.35">
      <c r="A3" s="501" t="s">
        <v>544</v>
      </c>
      <c r="B3" s="501"/>
      <c r="C3" s="501"/>
      <c r="D3" s="501"/>
      <c r="E3" s="501"/>
      <c r="F3" s="501"/>
      <c r="G3" s="501"/>
      <c r="H3" s="501"/>
    </row>
    <row r="4" spans="1:10" ht="14.45" x14ac:dyDescent="0.35">
      <c r="A4" s="73" t="s">
        <v>159</v>
      </c>
      <c r="B4" s="91">
        <v>1800</v>
      </c>
      <c r="C4" s="92" t="s">
        <v>283</v>
      </c>
      <c r="D4" s="92"/>
      <c r="E4" s="92"/>
      <c r="F4" s="92"/>
      <c r="G4" s="72"/>
    </row>
    <row r="5" spans="1:10" ht="14.45" x14ac:dyDescent="0.35">
      <c r="A5" s="73"/>
      <c r="B5" s="93"/>
      <c r="C5" s="72"/>
      <c r="D5" s="72"/>
      <c r="E5" s="72"/>
      <c r="F5" s="72"/>
      <c r="G5" s="72"/>
    </row>
    <row r="6" spans="1:10" ht="14.45" x14ac:dyDescent="0.35">
      <c r="A6" s="73" t="s">
        <v>284</v>
      </c>
      <c r="B6" s="94">
        <v>12</v>
      </c>
      <c r="C6" s="72"/>
      <c r="D6" s="94"/>
      <c r="E6" s="94"/>
      <c r="F6" s="72"/>
      <c r="G6" s="72"/>
    </row>
    <row r="7" spans="1:10" ht="14.45" x14ac:dyDescent="0.35">
      <c r="A7" s="73"/>
      <c r="C7" s="94"/>
      <c r="D7" s="94"/>
      <c r="E7" s="94"/>
      <c r="F7" s="72"/>
      <c r="G7" s="72"/>
    </row>
    <row r="8" spans="1:10" ht="14.45" x14ac:dyDescent="0.35">
      <c r="A8" s="76" t="s">
        <v>127</v>
      </c>
      <c r="B8" s="77" t="s">
        <v>2</v>
      </c>
      <c r="C8" s="77" t="s">
        <v>3</v>
      </c>
      <c r="D8" s="77" t="s">
        <v>4</v>
      </c>
      <c r="E8" s="77" t="s">
        <v>5</v>
      </c>
      <c r="F8" s="77" t="s">
        <v>6</v>
      </c>
      <c r="G8" s="77" t="s">
        <v>166</v>
      </c>
      <c r="H8" s="77" t="s">
        <v>165</v>
      </c>
    </row>
    <row r="9" spans="1:10" ht="14.45" x14ac:dyDescent="0.35">
      <c r="A9" s="47" t="s">
        <v>285</v>
      </c>
      <c r="B9" s="45">
        <v>0.6</v>
      </c>
      <c r="C9" s="45">
        <f>B9</f>
        <v>0.6</v>
      </c>
      <c r="D9" s="45">
        <f t="shared" ref="D9:H9" si="0">C9</f>
        <v>0.6</v>
      </c>
      <c r="E9" s="45">
        <f t="shared" si="0"/>
        <v>0.6</v>
      </c>
      <c r="F9" s="45">
        <f t="shared" si="0"/>
        <v>0.6</v>
      </c>
      <c r="G9" s="45">
        <f t="shared" si="0"/>
        <v>0.6</v>
      </c>
      <c r="H9" s="45">
        <f t="shared" si="0"/>
        <v>0.6</v>
      </c>
    </row>
    <row r="10" spans="1:10" ht="14.45" x14ac:dyDescent="0.35">
      <c r="A10" s="78" t="s">
        <v>307</v>
      </c>
      <c r="B10" s="95">
        <f t="shared" ref="B10:H10" si="1">$B$4*B9*$B$6</f>
        <v>12960</v>
      </c>
      <c r="C10" s="95">
        <f t="shared" si="1"/>
        <v>12960</v>
      </c>
      <c r="D10" s="95">
        <f t="shared" si="1"/>
        <v>12960</v>
      </c>
      <c r="E10" s="95">
        <f t="shared" si="1"/>
        <v>12960</v>
      </c>
      <c r="F10" s="95">
        <f t="shared" si="1"/>
        <v>12960</v>
      </c>
      <c r="G10" s="95">
        <f t="shared" si="1"/>
        <v>12960</v>
      </c>
      <c r="H10" s="95">
        <f t="shared" si="1"/>
        <v>12960</v>
      </c>
    </row>
    <row r="15" spans="1:10" ht="14.45" x14ac:dyDescent="0.35">
      <c r="A15" s="427" t="s">
        <v>545</v>
      </c>
      <c r="B15" s="427"/>
      <c r="C15" s="427"/>
      <c r="D15" s="427"/>
      <c r="E15" s="427"/>
      <c r="F15" s="427"/>
      <c r="G15" s="427"/>
      <c r="H15" s="427"/>
      <c r="I15" s="427"/>
      <c r="J15" s="427"/>
    </row>
    <row r="16" spans="1:10" ht="14.45" x14ac:dyDescent="0.35">
      <c r="A16" s="96"/>
      <c r="B16" s="96"/>
      <c r="C16" s="96"/>
      <c r="D16" s="96"/>
      <c r="E16" s="96"/>
      <c r="F16" s="96"/>
      <c r="G16" s="96"/>
      <c r="H16" s="96"/>
    </row>
    <row r="17" spans="1:10" ht="14.45" x14ac:dyDescent="0.35">
      <c r="D17" s="74">
        <v>1</v>
      </c>
      <c r="E17" s="75">
        <f>D17*1.05</f>
        <v>1.05</v>
      </c>
      <c r="F17" s="75">
        <f t="shared" ref="F17:J17" si="2">E17*1.05</f>
        <v>1.1025</v>
      </c>
      <c r="G17" s="75">
        <f t="shared" si="2"/>
        <v>1.1576250000000001</v>
      </c>
      <c r="H17" s="75">
        <f t="shared" si="2"/>
        <v>1.2155062500000002</v>
      </c>
      <c r="I17" s="75">
        <f t="shared" si="2"/>
        <v>1.2762815625000004</v>
      </c>
      <c r="J17" s="75">
        <f t="shared" si="2"/>
        <v>1.3400956406250004</v>
      </c>
    </row>
    <row r="18" spans="1:10" ht="14.45" x14ac:dyDescent="0.35">
      <c r="A18" s="76" t="s">
        <v>0</v>
      </c>
      <c r="B18" s="76" t="s">
        <v>132</v>
      </c>
      <c r="C18" s="76" t="s">
        <v>150</v>
      </c>
      <c r="D18" s="77" t="s">
        <v>2</v>
      </c>
      <c r="E18" s="77" t="s">
        <v>3</v>
      </c>
      <c r="F18" s="77" t="s">
        <v>4</v>
      </c>
      <c r="G18" s="77" t="s">
        <v>5</v>
      </c>
      <c r="H18" s="77" t="s">
        <v>6</v>
      </c>
      <c r="I18" s="77" t="s">
        <v>166</v>
      </c>
      <c r="J18" s="77" t="s">
        <v>165</v>
      </c>
    </row>
    <row r="19" spans="1:10" ht="14.45" x14ac:dyDescent="0.35">
      <c r="A19" s="47"/>
      <c r="B19" s="47"/>
      <c r="C19" s="47"/>
      <c r="D19" s="47"/>
      <c r="E19" s="47"/>
      <c r="F19" s="47"/>
      <c r="G19" s="47"/>
      <c r="H19" s="47"/>
      <c r="I19" s="47"/>
      <c r="J19" s="47"/>
    </row>
    <row r="20" spans="1:10" ht="14.45" x14ac:dyDescent="0.35">
      <c r="A20" s="78" t="s">
        <v>173</v>
      </c>
      <c r="B20" s="78"/>
      <c r="C20" s="78"/>
      <c r="D20" s="47"/>
      <c r="E20" s="47"/>
      <c r="F20" s="47"/>
      <c r="G20" s="47"/>
      <c r="H20" s="47"/>
      <c r="I20" s="47"/>
      <c r="J20" s="47"/>
    </row>
    <row r="21" spans="1:10" ht="14.45" x14ac:dyDescent="0.35">
      <c r="A21" s="47" t="s">
        <v>309</v>
      </c>
      <c r="B21" s="47"/>
      <c r="C21" s="97">
        <v>100</v>
      </c>
      <c r="D21" s="82">
        <f t="shared" ref="D21:J21" si="3">B10*$C$21*D17</f>
        <v>1296000</v>
      </c>
      <c r="E21" s="82">
        <f t="shared" si="3"/>
        <v>1360800</v>
      </c>
      <c r="F21" s="82">
        <f t="shared" si="3"/>
        <v>1428840</v>
      </c>
      <c r="G21" s="82">
        <f t="shared" si="3"/>
        <v>1500282.0000000002</v>
      </c>
      <c r="H21" s="82">
        <f t="shared" si="3"/>
        <v>1575296.1000000003</v>
      </c>
      <c r="I21" s="82">
        <f t="shared" si="3"/>
        <v>1654060.9050000005</v>
      </c>
      <c r="J21" s="82">
        <f t="shared" si="3"/>
        <v>1736763.9502500005</v>
      </c>
    </row>
    <row r="22" spans="1:10" ht="14.45" x14ac:dyDescent="0.35">
      <c r="A22" s="47"/>
      <c r="B22" s="47"/>
      <c r="C22" s="82"/>
      <c r="D22" s="82"/>
      <c r="E22" s="82"/>
      <c r="F22" s="82"/>
      <c r="G22" s="82"/>
      <c r="H22" s="82"/>
      <c r="I22" s="82"/>
      <c r="J22" s="82"/>
    </row>
    <row r="23" spans="1:10" ht="14.45" x14ac:dyDescent="0.35">
      <c r="A23" s="78" t="s">
        <v>142</v>
      </c>
      <c r="B23" s="78"/>
      <c r="C23" s="84"/>
      <c r="D23" s="84">
        <f t="shared" ref="D23:J23" si="4">SUM(D21:D21)</f>
        <v>1296000</v>
      </c>
      <c r="E23" s="84">
        <f t="shared" si="4"/>
        <v>1360800</v>
      </c>
      <c r="F23" s="84">
        <f t="shared" si="4"/>
        <v>1428840</v>
      </c>
      <c r="G23" s="84">
        <f t="shared" si="4"/>
        <v>1500282.0000000002</v>
      </c>
      <c r="H23" s="84">
        <f t="shared" si="4"/>
        <v>1575296.1000000003</v>
      </c>
      <c r="I23" s="84">
        <f t="shared" si="4"/>
        <v>1654060.9050000005</v>
      </c>
      <c r="J23" s="84">
        <f t="shared" si="4"/>
        <v>1736763.9502500005</v>
      </c>
    </row>
    <row r="24" spans="1:10" ht="14.45" x14ac:dyDescent="0.35">
      <c r="A24" s="47"/>
      <c r="B24" s="47"/>
      <c r="C24" s="82"/>
      <c r="D24" s="82"/>
      <c r="E24" s="82"/>
      <c r="F24" s="82"/>
      <c r="G24" s="82"/>
      <c r="H24" s="82"/>
      <c r="I24" s="82"/>
      <c r="J24" s="82"/>
    </row>
    <row r="25" spans="1:10" ht="14.45" x14ac:dyDescent="0.35">
      <c r="A25" s="78" t="s">
        <v>141</v>
      </c>
      <c r="B25" s="78"/>
      <c r="C25" s="82"/>
      <c r="D25" s="82"/>
      <c r="E25" s="82"/>
      <c r="F25" s="82"/>
      <c r="G25" s="82"/>
      <c r="H25" s="82"/>
      <c r="I25" s="82"/>
      <c r="J25" s="82"/>
    </row>
    <row r="26" spans="1:10" ht="14.45" x14ac:dyDescent="0.35">
      <c r="A26" s="78" t="s">
        <v>295</v>
      </c>
      <c r="B26" s="78"/>
      <c r="C26" s="82"/>
      <c r="D26" s="82"/>
      <c r="E26" s="82"/>
      <c r="F26" s="82"/>
      <c r="G26" s="82"/>
      <c r="H26" s="82"/>
      <c r="I26" s="82"/>
      <c r="J26" s="82"/>
    </row>
    <row r="27" spans="1:10" ht="14.45" x14ac:dyDescent="0.35">
      <c r="A27" s="47" t="s">
        <v>286</v>
      </c>
      <c r="B27" s="85" t="s">
        <v>283</v>
      </c>
      <c r="C27" s="97">
        <v>10</v>
      </c>
      <c r="D27" s="82">
        <f t="shared" ref="D27:J27" si="5">$B$4*$C$27*D17*4</f>
        <v>72000</v>
      </c>
      <c r="E27" s="82">
        <f t="shared" si="5"/>
        <v>75600</v>
      </c>
      <c r="F27" s="82">
        <f t="shared" si="5"/>
        <v>79380</v>
      </c>
      <c r="G27" s="82">
        <f t="shared" si="5"/>
        <v>83349.000000000015</v>
      </c>
      <c r="H27" s="82">
        <f t="shared" si="5"/>
        <v>87516.450000000012</v>
      </c>
      <c r="I27" s="82">
        <f t="shared" si="5"/>
        <v>91892.272500000021</v>
      </c>
      <c r="J27" s="82">
        <f t="shared" si="5"/>
        <v>96486.886125000034</v>
      </c>
    </row>
    <row r="28" spans="1:10" ht="14.45" x14ac:dyDescent="0.35">
      <c r="A28" s="47" t="s">
        <v>287</v>
      </c>
      <c r="B28" s="85" t="s">
        <v>283</v>
      </c>
      <c r="C28" s="97">
        <v>15</v>
      </c>
      <c r="D28" s="82">
        <f t="shared" ref="D28:J28" si="6">$B$4*$C$28*D17*12</f>
        <v>324000</v>
      </c>
      <c r="E28" s="82">
        <f t="shared" si="6"/>
        <v>340200</v>
      </c>
      <c r="F28" s="82">
        <f t="shared" si="6"/>
        <v>357210</v>
      </c>
      <c r="G28" s="82">
        <f t="shared" si="6"/>
        <v>375070.50000000006</v>
      </c>
      <c r="H28" s="82">
        <f t="shared" si="6"/>
        <v>393824.02500000002</v>
      </c>
      <c r="I28" s="82">
        <f t="shared" si="6"/>
        <v>413515.22625000007</v>
      </c>
      <c r="J28" s="82">
        <f t="shared" si="6"/>
        <v>434190.98756250017</v>
      </c>
    </row>
    <row r="29" spans="1:10" ht="14.45" x14ac:dyDescent="0.35">
      <c r="A29" s="47" t="s">
        <v>288</v>
      </c>
      <c r="B29" s="98">
        <f>B4*2</f>
        <v>3600</v>
      </c>
      <c r="C29" s="97">
        <v>8</v>
      </c>
      <c r="D29" s="82">
        <f>$C$29*12*D17*$B$29</f>
        <v>345600</v>
      </c>
      <c r="E29" s="82">
        <f t="shared" ref="E29:J29" si="7">$C$29*12*E17*$B$29</f>
        <v>362880.00000000006</v>
      </c>
      <c r="F29" s="82">
        <f t="shared" si="7"/>
        <v>381024</v>
      </c>
      <c r="G29" s="82">
        <f t="shared" si="7"/>
        <v>400075.2</v>
      </c>
      <c r="H29" s="82">
        <f t="shared" si="7"/>
        <v>420078.96000000008</v>
      </c>
      <c r="I29" s="82">
        <f t="shared" si="7"/>
        <v>441082.90800000011</v>
      </c>
      <c r="J29" s="82">
        <f t="shared" si="7"/>
        <v>463137.05340000021</v>
      </c>
    </row>
    <row r="30" spans="1:10" ht="14.45" hidden="1" x14ac:dyDescent="0.35">
      <c r="A30" s="47"/>
      <c r="B30" s="85"/>
      <c r="C30" s="97"/>
      <c r="D30" s="82"/>
      <c r="E30" s="82"/>
      <c r="F30" s="82"/>
      <c r="G30" s="82"/>
      <c r="H30" s="82"/>
      <c r="I30" s="82"/>
      <c r="J30" s="82"/>
    </row>
    <row r="31" spans="1:10" ht="14.45" hidden="1" x14ac:dyDescent="0.35">
      <c r="A31" s="47"/>
      <c r="B31" s="85"/>
      <c r="C31" s="97"/>
      <c r="D31" s="82"/>
      <c r="E31" s="82"/>
      <c r="F31" s="82"/>
      <c r="G31" s="82"/>
      <c r="H31" s="82"/>
      <c r="I31" s="82"/>
      <c r="J31" s="82"/>
    </row>
    <row r="32" spans="1:10" ht="14.45" hidden="1" x14ac:dyDescent="0.35">
      <c r="A32" s="47"/>
      <c r="B32" s="85"/>
      <c r="C32" s="97"/>
      <c r="D32" s="82"/>
      <c r="E32" s="82"/>
      <c r="F32" s="82"/>
      <c r="G32" s="82"/>
      <c r="H32" s="82"/>
      <c r="I32" s="82"/>
      <c r="J32" s="82"/>
    </row>
    <row r="33" spans="1:10" ht="14.45" hidden="1" x14ac:dyDescent="0.35">
      <c r="A33" s="47"/>
      <c r="B33" s="85"/>
      <c r="C33" s="97"/>
      <c r="D33" s="82"/>
      <c r="E33" s="82"/>
      <c r="F33" s="82"/>
      <c r="G33" s="82"/>
      <c r="H33" s="82"/>
      <c r="I33" s="82"/>
      <c r="J33" s="82"/>
    </row>
    <row r="34" spans="1:10" ht="14.45" x14ac:dyDescent="0.35">
      <c r="A34" s="78" t="s">
        <v>306</v>
      </c>
      <c r="B34" s="86"/>
      <c r="C34" s="99"/>
      <c r="D34" s="84">
        <f>SUM(D27:D33)</f>
        <v>741600</v>
      </c>
      <c r="E34" s="84">
        <f t="shared" ref="E34:J34" si="8">SUM(E27:E33)</f>
        <v>778680</v>
      </c>
      <c r="F34" s="84">
        <f t="shared" si="8"/>
        <v>817614</v>
      </c>
      <c r="G34" s="84">
        <f t="shared" si="8"/>
        <v>858494.70000000007</v>
      </c>
      <c r="H34" s="84">
        <f t="shared" si="8"/>
        <v>901419.43500000006</v>
      </c>
      <c r="I34" s="84">
        <f t="shared" si="8"/>
        <v>946490.4067500002</v>
      </c>
      <c r="J34" s="84">
        <f t="shared" si="8"/>
        <v>993814.92708750046</v>
      </c>
    </row>
    <row r="35" spans="1:10" ht="14.45" x14ac:dyDescent="0.35">
      <c r="A35" s="78"/>
      <c r="B35" s="86"/>
      <c r="C35" s="99"/>
      <c r="D35" s="84"/>
      <c r="E35" s="84"/>
      <c r="F35" s="84"/>
      <c r="G35" s="84"/>
      <c r="H35" s="84"/>
      <c r="I35" s="84"/>
      <c r="J35" s="84"/>
    </row>
    <row r="36" spans="1:10" ht="14.45" x14ac:dyDescent="0.35">
      <c r="A36" s="78" t="s">
        <v>293</v>
      </c>
      <c r="B36" s="85"/>
      <c r="C36" s="97"/>
      <c r="D36" s="82"/>
      <c r="E36" s="82"/>
      <c r="F36" s="82"/>
      <c r="G36" s="82"/>
      <c r="H36" s="82"/>
      <c r="I36" s="82"/>
      <c r="J36" s="82"/>
    </row>
    <row r="37" spans="1:10" ht="14.45" x14ac:dyDescent="0.35">
      <c r="A37" s="47" t="s">
        <v>308</v>
      </c>
      <c r="B37" s="85">
        <v>1</v>
      </c>
      <c r="C37" s="97">
        <v>15000</v>
      </c>
      <c r="D37" s="82">
        <f>$B37*$C37*D$17*12</f>
        <v>180000</v>
      </c>
      <c r="E37" s="82">
        <f t="shared" ref="E37:J37" si="9">$B$37*$C$37*E17*12</f>
        <v>189000</v>
      </c>
      <c r="F37" s="82">
        <f t="shared" si="9"/>
        <v>198450</v>
      </c>
      <c r="G37" s="82">
        <f t="shared" si="9"/>
        <v>208372.50000000006</v>
      </c>
      <c r="H37" s="82">
        <f t="shared" si="9"/>
        <v>218791.12500000006</v>
      </c>
      <c r="I37" s="82">
        <f t="shared" si="9"/>
        <v>229730.68125000005</v>
      </c>
      <c r="J37" s="82">
        <f t="shared" si="9"/>
        <v>241217.21531250008</v>
      </c>
    </row>
    <row r="38" spans="1:10" ht="14.45" x14ac:dyDescent="0.35">
      <c r="A38" s="47" t="s">
        <v>179</v>
      </c>
      <c r="B38" s="85">
        <v>2</v>
      </c>
      <c r="C38" s="97">
        <v>10000</v>
      </c>
      <c r="D38" s="82">
        <f>$B38*$C38*D$17*12</f>
        <v>240000</v>
      </c>
      <c r="E38" s="82">
        <f t="shared" ref="E38:J38" si="10">$B38*$C38*E$17*12</f>
        <v>252000</v>
      </c>
      <c r="F38" s="82">
        <f t="shared" si="10"/>
        <v>264600</v>
      </c>
      <c r="G38" s="82">
        <f t="shared" si="10"/>
        <v>277830.00000000006</v>
      </c>
      <c r="H38" s="82">
        <f t="shared" si="10"/>
        <v>291721.50000000006</v>
      </c>
      <c r="I38" s="82">
        <f t="shared" si="10"/>
        <v>306307.57500000007</v>
      </c>
      <c r="J38" s="82">
        <f t="shared" si="10"/>
        <v>321622.9537500001</v>
      </c>
    </row>
    <row r="39" spans="1:10" ht="14.45" hidden="1" x14ac:dyDescent="0.35">
      <c r="A39" s="47"/>
      <c r="B39" s="85"/>
      <c r="C39" s="97"/>
      <c r="D39" s="82"/>
      <c r="E39" s="82"/>
      <c r="F39" s="82"/>
      <c r="G39" s="82"/>
      <c r="H39" s="82"/>
      <c r="I39" s="82"/>
      <c r="J39" s="82"/>
    </row>
    <row r="40" spans="1:10" ht="14.45" hidden="1" x14ac:dyDescent="0.35">
      <c r="A40" s="47"/>
      <c r="B40" s="85"/>
      <c r="C40" s="97"/>
      <c r="D40" s="82"/>
      <c r="E40" s="82"/>
      <c r="F40" s="82"/>
      <c r="G40" s="82"/>
      <c r="H40" s="82"/>
      <c r="I40" s="82"/>
      <c r="J40" s="82"/>
    </row>
    <row r="41" spans="1:10" ht="14.45" hidden="1" x14ac:dyDescent="0.35">
      <c r="A41" s="47"/>
      <c r="B41" s="85"/>
      <c r="C41" s="97"/>
      <c r="D41" s="82"/>
      <c r="E41" s="82"/>
      <c r="F41" s="82"/>
      <c r="G41" s="82"/>
      <c r="H41" s="82"/>
      <c r="I41" s="82"/>
      <c r="J41" s="82"/>
    </row>
    <row r="42" spans="1:10" ht="14.45" hidden="1" x14ac:dyDescent="0.35">
      <c r="A42" s="47"/>
      <c r="B42" s="85"/>
      <c r="C42" s="97"/>
      <c r="D42" s="82"/>
      <c r="E42" s="82"/>
      <c r="F42" s="82"/>
      <c r="G42" s="82"/>
      <c r="H42" s="82"/>
      <c r="I42" s="82"/>
      <c r="J42" s="82"/>
    </row>
    <row r="43" spans="1:10" ht="14.45" x14ac:dyDescent="0.35">
      <c r="A43" s="78" t="s">
        <v>310</v>
      </c>
      <c r="B43" s="78"/>
      <c r="C43" s="84"/>
      <c r="D43" s="84">
        <f>SUM(D37:D42)</f>
        <v>420000</v>
      </c>
      <c r="E43" s="84">
        <f t="shared" ref="E43" si="11">SUM(E37:E42)</f>
        <v>441000</v>
      </c>
      <c r="F43" s="84">
        <f>SUM(F37:F42)</f>
        <v>463050</v>
      </c>
      <c r="G43" s="84">
        <f t="shared" ref="G43:J43" si="12">SUM(G37:G42)</f>
        <v>486202.50000000012</v>
      </c>
      <c r="H43" s="84">
        <f t="shared" si="12"/>
        <v>510512.62500000012</v>
      </c>
      <c r="I43" s="84">
        <f t="shared" si="12"/>
        <v>536038.25625000009</v>
      </c>
      <c r="J43" s="84">
        <f t="shared" si="12"/>
        <v>562840.16906250012</v>
      </c>
    </row>
    <row r="44" spans="1:10" ht="14.45" x14ac:dyDescent="0.35">
      <c r="A44" s="78"/>
      <c r="B44" s="78"/>
      <c r="C44" s="84"/>
      <c r="D44" s="84"/>
      <c r="E44" s="84"/>
      <c r="F44" s="84"/>
      <c r="G44" s="84"/>
      <c r="H44" s="84"/>
      <c r="I44" s="84"/>
      <c r="J44" s="84"/>
    </row>
    <row r="45" spans="1:10" ht="14.45" x14ac:dyDescent="0.35">
      <c r="A45" s="78" t="s">
        <v>129</v>
      </c>
      <c r="B45" s="78"/>
      <c r="C45" s="84"/>
      <c r="D45" s="84">
        <f>D34+D43</f>
        <v>1161600</v>
      </c>
      <c r="E45" s="84">
        <f t="shared" ref="E45:J45" si="13">E34+E43</f>
        <v>1219680</v>
      </c>
      <c r="F45" s="84">
        <f t="shared" si="13"/>
        <v>1280664</v>
      </c>
      <c r="G45" s="84">
        <f t="shared" si="13"/>
        <v>1344697.2000000002</v>
      </c>
      <c r="H45" s="84">
        <f t="shared" si="13"/>
        <v>1411932.06</v>
      </c>
      <c r="I45" s="84">
        <f t="shared" si="13"/>
        <v>1482528.6630000002</v>
      </c>
      <c r="J45" s="84">
        <f t="shared" si="13"/>
        <v>1556655.0961500006</v>
      </c>
    </row>
    <row r="46" spans="1:10" ht="14.45" x14ac:dyDescent="0.35">
      <c r="A46" s="47"/>
      <c r="B46" s="47"/>
      <c r="C46" s="82"/>
      <c r="D46" s="82"/>
      <c r="E46" s="82"/>
      <c r="F46" s="82"/>
      <c r="G46" s="82"/>
      <c r="H46" s="82"/>
      <c r="I46" s="82"/>
      <c r="J46" s="82"/>
    </row>
    <row r="47" spans="1:10" ht="14.45" x14ac:dyDescent="0.35">
      <c r="A47" s="78" t="s">
        <v>128</v>
      </c>
      <c r="B47" s="78"/>
      <c r="C47" s="84"/>
      <c r="D47" s="84">
        <f t="shared" ref="D47:J47" si="14">D23-D45</f>
        <v>134400</v>
      </c>
      <c r="E47" s="84">
        <f t="shared" si="14"/>
        <v>141120</v>
      </c>
      <c r="F47" s="84">
        <f t="shared" si="14"/>
        <v>148176</v>
      </c>
      <c r="G47" s="84">
        <f t="shared" si="14"/>
        <v>155584.80000000005</v>
      </c>
      <c r="H47" s="84">
        <f t="shared" si="14"/>
        <v>163364.04000000027</v>
      </c>
      <c r="I47" s="84">
        <f t="shared" si="14"/>
        <v>171532.24200000032</v>
      </c>
      <c r="J47" s="84">
        <f t="shared" si="14"/>
        <v>180108.85409999988</v>
      </c>
    </row>
    <row r="49" spans="1:10" ht="14.45" x14ac:dyDescent="0.35">
      <c r="D49" s="100">
        <f>D47/D23</f>
        <v>0.1037037037037037</v>
      </c>
      <c r="E49" s="100">
        <f t="shared" ref="E49:J49" si="15">E47/E23</f>
        <v>0.1037037037037037</v>
      </c>
      <c r="F49" s="100">
        <f t="shared" si="15"/>
        <v>0.1037037037037037</v>
      </c>
      <c r="G49" s="100">
        <f t="shared" si="15"/>
        <v>0.10370370370370371</v>
      </c>
      <c r="H49" s="100">
        <f t="shared" si="15"/>
        <v>0.10370370370370385</v>
      </c>
      <c r="I49" s="100">
        <f t="shared" si="15"/>
        <v>0.10370370370370387</v>
      </c>
      <c r="J49" s="100">
        <f t="shared" si="15"/>
        <v>0.1037037037037036</v>
      </c>
    </row>
    <row r="51" spans="1:10" ht="14.45" x14ac:dyDescent="0.35">
      <c r="A51" s="427" t="s">
        <v>398</v>
      </c>
      <c r="B51" s="427"/>
      <c r="C51" s="427"/>
      <c r="D51" s="427"/>
      <c r="E51" s="427"/>
      <c r="F51" s="427"/>
      <c r="G51" s="427"/>
      <c r="H51" s="427"/>
      <c r="I51" s="427"/>
      <c r="J51" s="427"/>
    </row>
    <row r="53" spans="1:10" ht="14.45" x14ac:dyDescent="0.35">
      <c r="A53" s="39" t="s">
        <v>491</v>
      </c>
    </row>
    <row r="54" spans="1:10" ht="14.45" x14ac:dyDescent="0.35">
      <c r="A54" s="39">
        <v>1</v>
      </c>
      <c r="B54" s="39" t="s">
        <v>504</v>
      </c>
    </row>
    <row r="55" spans="1:10" ht="14.45" x14ac:dyDescent="0.35">
      <c r="A55" s="39">
        <v>2</v>
      </c>
      <c r="B55" s="39" t="s">
        <v>505</v>
      </c>
    </row>
    <row r="56" spans="1:10" ht="14.45" x14ac:dyDescent="0.35">
      <c r="A56" s="39">
        <v>3</v>
      </c>
      <c r="B56" s="39" t="s">
        <v>554</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8"/>
  <sheetViews>
    <sheetView topLeftCell="A23" workbookViewId="0">
      <selection activeCell="A23" sqref="A23"/>
    </sheetView>
  </sheetViews>
  <sheetFormatPr defaultColWidth="8.7109375" defaultRowHeight="15" x14ac:dyDescent="0.25"/>
  <cols>
    <col min="1" max="2" width="29.42578125" style="39" customWidth="1"/>
    <col min="3" max="3" width="12.140625" style="39" customWidth="1"/>
    <col min="4" max="4" width="10.42578125" style="39" bestFit="1" customWidth="1"/>
    <col min="5" max="5" width="13.42578125" style="39" customWidth="1"/>
    <col min="6" max="6" width="14" style="39" customWidth="1"/>
    <col min="7" max="7" width="13.42578125" style="39" customWidth="1"/>
    <col min="8" max="9" width="14" style="39" customWidth="1"/>
    <col min="10" max="11" width="14.42578125" style="39" customWidth="1"/>
    <col min="12" max="12" width="12.140625" style="39" customWidth="1"/>
    <col min="13" max="13" width="16" style="39" customWidth="1"/>
    <col min="14" max="14" width="23.28515625" style="39" customWidth="1"/>
    <col min="15" max="17" width="8.7109375" style="39"/>
    <col min="18" max="18" width="12.7109375" style="39" bestFit="1" customWidth="1"/>
    <col min="19" max="16384" width="8.7109375" style="39"/>
  </cols>
  <sheetData>
    <row r="3" spans="1:13" ht="14.45" x14ac:dyDescent="0.35">
      <c r="A3" s="427" t="s">
        <v>546</v>
      </c>
      <c r="B3" s="427"/>
      <c r="C3" s="427"/>
      <c r="D3" s="427"/>
      <c r="E3" s="427"/>
      <c r="F3" s="427"/>
      <c r="G3" s="427"/>
      <c r="H3" s="427"/>
      <c r="I3" s="427"/>
      <c r="J3" s="427"/>
      <c r="K3" s="427"/>
      <c r="L3" s="427"/>
    </row>
    <row r="4" spans="1:13" ht="14.45" x14ac:dyDescent="0.35">
      <c r="A4" s="427" t="s">
        <v>547</v>
      </c>
      <c r="B4" s="427"/>
      <c r="C4" s="427"/>
      <c r="D4" s="427"/>
      <c r="E4" s="427"/>
      <c r="F4" s="427"/>
      <c r="G4" s="427"/>
      <c r="H4" s="427"/>
      <c r="I4" s="427"/>
      <c r="J4" s="427"/>
      <c r="K4" s="427"/>
      <c r="L4" s="427"/>
    </row>
    <row r="7" spans="1:13" ht="43.5" x14ac:dyDescent="0.35">
      <c r="A7" s="66" t="s">
        <v>144</v>
      </c>
      <c r="B7" s="67" t="s">
        <v>406</v>
      </c>
      <c r="C7" s="67" t="s">
        <v>409</v>
      </c>
      <c r="D7" s="67" t="s">
        <v>407</v>
      </c>
      <c r="E7" s="67" t="s">
        <v>408</v>
      </c>
      <c r="F7" s="67" t="s">
        <v>289</v>
      </c>
      <c r="G7" s="67" t="s">
        <v>410</v>
      </c>
      <c r="H7" s="67" t="s">
        <v>411</v>
      </c>
      <c r="I7" s="67" t="s">
        <v>412</v>
      </c>
      <c r="J7" s="68" t="s">
        <v>415</v>
      </c>
      <c r="K7" s="67" t="s">
        <v>413</v>
      </c>
      <c r="L7" s="68" t="s">
        <v>414</v>
      </c>
      <c r="M7" s="67" t="s">
        <v>417</v>
      </c>
    </row>
    <row r="8" spans="1:13" ht="14.45" x14ac:dyDescent="0.35">
      <c r="A8" s="69">
        <v>1</v>
      </c>
      <c r="B8" s="70" t="s">
        <v>697</v>
      </c>
      <c r="C8" s="70">
        <v>1</v>
      </c>
      <c r="D8" s="70">
        <v>90</v>
      </c>
      <c r="E8" s="70">
        <v>4</v>
      </c>
      <c r="F8" s="70">
        <f>D8*E8*C8</f>
        <v>360</v>
      </c>
      <c r="G8" s="70">
        <v>2</v>
      </c>
      <c r="H8" s="70">
        <f>F8/G8</f>
        <v>180</v>
      </c>
      <c r="I8" s="70">
        <v>8</v>
      </c>
      <c r="J8" s="70">
        <f>H8*I8</f>
        <v>1440</v>
      </c>
      <c r="K8" s="70">
        <v>1500</v>
      </c>
      <c r="L8" s="70">
        <v>1</v>
      </c>
      <c r="M8" s="70">
        <f t="shared" ref="M8:M17" si="0">D8*L8</f>
        <v>90</v>
      </c>
    </row>
    <row r="9" spans="1:13" ht="14.45" x14ac:dyDescent="0.35">
      <c r="A9" s="69">
        <v>2</v>
      </c>
      <c r="B9" s="70" t="s">
        <v>702</v>
      </c>
      <c r="C9" s="70">
        <v>1</v>
      </c>
      <c r="D9" s="70">
        <v>90</v>
      </c>
      <c r="E9" s="70">
        <v>4</v>
      </c>
      <c r="F9" s="70">
        <f t="shared" ref="F9:F17" si="1">D9*E9*C9</f>
        <v>360</v>
      </c>
      <c r="G9" s="70">
        <v>2</v>
      </c>
      <c r="H9" s="70">
        <f>F9/G9</f>
        <v>180</v>
      </c>
      <c r="I9" s="70">
        <v>6</v>
      </c>
      <c r="J9" s="70">
        <f>H9*I9</f>
        <v>1080</v>
      </c>
      <c r="K9" s="70">
        <v>1000</v>
      </c>
      <c r="L9" s="70">
        <v>1</v>
      </c>
      <c r="M9" s="70">
        <f t="shared" si="0"/>
        <v>90</v>
      </c>
    </row>
    <row r="10" spans="1:13" ht="14.45" x14ac:dyDescent="0.35">
      <c r="A10" s="69">
        <v>3</v>
      </c>
      <c r="B10" s="70" t="s">
        <v>699</v>
      </c>
      <c r="C10" s="70">
        <v>1</v>
      </c>
      <c r="D10" s="70">
        <v>90</v>
      </c>
      <c r="E10" s="70">
        <v>4</v>
      </c>
      <c r="F10" s="70">
        <f t="shared" si="1"/>
        <v>360</v>
      </c>
      <c r="G10" s="70">
        <v>1</v>
      </c>
      <c r="H10" s="70">
        <f>F10/G10</f>
        <v>360</v>
      </c>
      <c r="I10" s="70">
        <v>10</v>
      </c>
      <c r="J10" s="70">
        <f t="shared" ref="J10:J17" si="2">H10*I10</f>
        <v>3600</v>
      </c>
      <c r="K10" s="70">
        <v>1000</v>
      </c>
      <c r="L10" s="70">
        <v>3</v>
      </c>
      <c r="M10" s="70">
        <f t="shared" si="0"/>
        <v>270</v>
      </c>
    </row>
    <row r="11" spans="1:13" ht="14.45" x14ac:dyDescent="0.35">
      <c r="A11" s="69">
        <v>4</v>
      </c>
      <c r="B11" s="70" t="s">
        <v>700</v>
      </c>
      <c r="C11" s="70">
        <v>1</v>
      </c>
      <c r="D11" s="70">
        <v>90</v>
      </c>
      <c r="E11" s="70">
        <v>4</v>
      </c>
      <c r="F11" s="70">
        <f t="shared" si="1"/>
        <v>360</v>
      </c>
      <c r="G11" s="70">
        <v>1</v>
      </c>
      <c r="H11" s="70">
        <f>F11/G11</f>
        <v>360</v>
      </c>
      <c r="I11" s="70">
        <v>6</v>
      </c>
      <c r="J11" s="70">
        <f t="shared" si="2"/>
        <v>2160</v>
      </c>
      <c r="K11" s="70">
        <v>1000</v>
      </c>
      <c r="L11" s="70">
        <v>1</v>
      </c>
      <c r="M11" s="70">
        <f t="shared" si="0"/>
        <v>90</v>
      </c>
    </row>
    <row r="12" spans="1:13" ht="14.45" x14ac:dyDescent="0.35">
      <c r="A12" s="69">
        <v>5</v>
      </c>
      <c r="B12" s="70" t="s">
        <v>701</v>
      </c>
      <c r="C12" s="70">
        <v>1</v>
      </c>
      <c r="D12" s="70">
        <v>90</v>
      </c>
      <c r="E12" s="70">
        <v>4</v>
      </c>
      <c r="F12" s="70">
        <f t="shared" si="1"/>
        <v>360</v>
      </c>
      <c r="G12" s="70">
        <v>1</v>
      </c>
      <c r="H12" s="70">
        <f>F12/G12</f>
        <v>360</v>
      </c>
      <c r="I12" s="70">
        <v>6</v>
      </c>
      <c r="J12" s="70">
        <f t="shared" si="2"/>
        <v>2160</v>
      </c>
      <c r="K12" s="70">
        <v>1200</v>
      </c>
      <c r="L12" s="70">
        <v>1</v>
      </c>
      <c r="M12" s="70">
        <f t="shared" si="0"/>
        <v>90</v>
      </c>
    </row>
    <row r="13" spans="1:13" ht="14.45" x14ac:dyDescent="0.35">
      <c r="A13" s="69">
        <v>6</v>
      </c>
      <c r="B13" s="70" t="s">
        <v>698</v>
      </c>
      <c r="C13" s="70">
        <v>1</v>
      </c>
      <c r="D13" s="70">
        <v>90</v>
      </c>
      <c r="E13" s="70">
        <v>4</v>
      </c>
      <c r="F13" s="70">
        <f t="shared" si="1"/>
        <v>360</v>
      </c>
      <c r="G13" s="70">
        <v>2</v>
      </c>
      <c r="H13" s="70">
        <f t="shared" ref="H13" si="3">F13/G13</f>
        <v>180</v>
      </c>
      <c r="I13" s="70">
        <v>10</v>
      </c>
      <c r="J13" s="70">
        <f t="shared" ref="J13" si="4">H13*I13</f>
        <v>1800</v>
      </c>
      <c r="K13" s="70">
        <v>2000</v>
      </c>
      <c r="L13" s="70">
        <v>1</v>
      </c>
      <c r="M13" s="70">
        <f t="shared" ref="M13:M14" si="5">D13*L13</f>
        <v>90</v>
      </c>
    </row>
    <row r="14" spans="1:13" ht="14.45" x14ac:dyDescent="0.35">
      <c r="A14" s="69">
        <v>7</v>
      </c>
      <c r="B14" s="70" t="s">
        <v>687</v>
      </c>
      <c r="C14" s="70">
        <v>1</v>
      </c>
      <c r="D14" s="70">
        <v>180</v>
      </c>
      <c r="E14" s="70">
        <v>6</v>
      </c>
      <c r="F14" s="70">
        <f t="shared" si="1"/>
        <v>1080</v>
      </c>
      <c r="G14" s="70">
        <v>0</v>
      </c>
      <c r="H14" s="70">
        <v>0</v>
      </c>
      <c r="I14" s="70">
        <v>0</v>
      </c>
      <c r="J14" s="70">
        <v>0</v>
      </c>
      <c r="K14" s="70">
        <v>200</v>
      </c>
      <c r="L14" s="70">
        <v>1</v>
      </c>
      <c r="M14" s="70">
        <f t="shared" si="5"/>
        <v>180</v>
      </c>
    </row>
    <row r="15" spans="1:13" ht="14.45" x14ac:dyDescent="0.35">
      <c r="A15" s="69">
        <v>8</v>
      </c>
      <c r="B15" s="70"/>
      <c r="C15" s="70"/>
      <c r="D15" s="70"/>
      <c r="E15" s="70"/>
      <c r="F15" s="70">
        <f t="shared" si="1"/>
        <v>0</v>
      </c>
      <c r="G15" s="70">
        <v>0</v>
      </c>
      <c r="H15" s="70"/>
      <c r="I15" s="70"/>
      <c r="J15" s="70">
        <f t="shared" si="2"/>
        <v>0</v>
      </c>
      <c r="K15" s="70"/>
      <c r="L15" s="70"/>
      <c r="M15" s="70">
        <f t="shared" si="0"/>
        <v>0</v>
      </c>
    </row>
    <row r="16" spans="1:13" ht="14.45" x14ac:dyDescent="0.35">
      <c r="A16" s="69">
        <v>9</v>
      </c>
      <c r="B16" s="70"/>
      <c r="C16" s="70"/>
      <c r="D16" s="70"/>
      <c r="E16" s="70"/>
      <c r="F16" s="70">
        <f t="shared" si="1"/>
        <v>0</v>
      </c>
      <c r="G16" s="70">
        <v>0</v>
      </c>
      <c r="H16" s="70"/>
      <c r="I16" s="70"/>
      <c r="J16" s="70">
        <f t="shared" si="2"/>
        <v>0</v>
      </c>
      <c r="K16" s="70"/>
      <c r="L16" s="70"/>
      <c r="M16" s="70">
        <f t="shared" si="0"/>
        <v>0</v>
      </c>
    </row>
    <row r="17" spans="1:13" ht="14.45" x14ac:dyDescent="0.35">
      <c r="A17" s="69">
        <v>10</v>
      </c>
      <c r="B17" s="70"/>
      <c r="C17" s="70"/>
      <c r="D17" s="70"/>
      <c r="E17" s="70"/>
      <c r="F17" s="70">
        <f t="shared" si="1"/>
        <v>0</v>
      </c>
      <c r="G17" s="70">
        <v>0</v>
      </c>
      <c r="H17" s="70"/>
      <c r="I17" s="70"/>
      <c r="J17" s="70">
        <f t="shared" si="2"/>
        <v>0</v>
      </c>
      <c r="K17" s="70"/>
      <c r="L17" s="70"/>
      <c r="M17" s="70">
        <f t="shared" si="0"/>
        <v>0</v>
      </c>
    </row>
    <row r="18" spans="1:13" ht="14.45" x14ac:dyDescent="0.35">
      <c r="A18" s="71"/>
      <c r="B18" s="71"/>
      <c r="C18" s="72"/>
      <c r="D18" s="72"/>
      <c r="E18" s="72"/>
      <c r="F18" s="72"/>
      <c r="G18" s="72"/>
      <c r="H18" s="72"/>
      <c r="I18" s="72"/>
      <c r="J18" s="72"/>
      <c r="K18" s="72"/>
      <c r="L18" s="72"/>
      <c r="M18" s="73"/>
    </row>
    <row r="19" spans="1:13" ht="14.45" x14ac:dyDescent="0.35">
      <c r="A19" s="71"/>
      <c r="B19" s="71"/>
      <c r="C19" s="72"/>
      <c r="D19" s="72"/>
      <c r="E19" s="72"/>
      <c r="F19" s="72"/>
      <c r="G19" s="72"/>
      <c r="H19" s="72"/>
      <c r="I19" s="72"/>
      <c r="J19" s="72"/>
      <c r="K19" s="72"/>
      <c r="L19" s="72"/>
      <c r="M19" s="73"/>
    </row>
    <row r="21" spans="1:13" ht="14.45" x14ac:dyDescent="0.35">
      <c r="A21" s="427" t="s">
        <v>548</v>
      </c>
      <c r="B21" s="427"/>
      <c r="C21" s="427"/>
      <c r="D21" s="427"/>
      <c r="E21" s="427"/>
      <c r="F21" s="427"/>
      <c r="G21" s="427"/>
      <c r="H21" s="427"/>
      <c r="I21" s="427"/>
      <c r="J21" s="427"/>
      <c r="K21" s="427"/>
    </row>
    <row r="23" spans="1:13" ht="14.45" x14ac:dyDescent="0.35">
      <c r="E23" s="74">
        <v>1</v>
      </c>
      <c r="F23" s="75">
        <f>(E23*5%)+E23</f>
        <v>1.05</v>
      </c>
      <c r="G23" s="75">
        <f t="shared" ref="G23:K23" si="6">(F23*5%)+F23</f>
        <v>1.1025</v>
      </c>
      <c r="H23" s="75">
        <f t="shared" si="6"/>
        <v>1.1576250000000001</v>
      </c>
      <c r="I23" s="75">
        <f t="shared" si="6"/>
        <v>1.2155062500000002</v>
      </c>
      <c r="J23" s="75">
        <f t="shared" si="6"/>
        <v>1.2762815625000004</v>
      </c>
      <c r="K23" s="75">
        <f t="shared" si="6"/>
        <v>1.3400956406250004</v>
      </c>
    </row>
    <row r="24" spans="1:13" ht="14.45" x14ac:dyDescent="0.35">
      <c r="A24" s="76" t="s">
        <v>0</v>
      </c>
      <c r="B24" s="76" t="s">
        <v>132</v>
      </c>
      <c r="C24" s="76" t="s">
        <v>145</v>
      </c>
      <c r="D24" s="76" t="s">
        <v>150</v>
      </c>
      <c r="E24" s="77" t="s">
        <v>2</v>
      </c>
      <c r="F24" s="77" t="s">
        <v>3</v>
      </c>
      <c r="G24" s="77" t="s">
        <v>4</v>
      </c>
      <c r="H24" s="77" t="s">
        <v>5</v>
      </c>
      <c r="I24" s="77" t="s">
        <v>6</v>
      </c>
      <c r="J24" s="77" t="s">
        <v>166</v>
      </c>
      <c r="K24" s="77" t="s">
        <v>165</v>
      </c>
    </row>
    <row r="25" spans="1:13" ht="14.45" x14ac:dyDescent="0.35">
      <c r="A25" s="78"/>
      <c r="B25" s="78"/>
      <c r="C25" s="78"/>
      <c r="D25" s="78"/>
      <c r="E25" s="47"/>
      <c r="F25" s="47"/>
      <c r="G25" s="47"/>
      <c r="H25" s="47"/>
      <c r="I25" s="47"/>
      <c r="J25" s="47"/>
      <c r="K25" s="47"/>
    </row>
    <row r="26" spans="1:13" ht="14.45" x14ac:dyDescent="0.35">
      <c r="A26" s="78" t="s">
        <v>126</v>
      </c>
      <c r="B26" s="78"/>
      <c r="C26" s="78"/>
      <c r="D26" s="78"/>
      <c r="E26" s="47"/>
      <c r="F26" s="47"/>
      <c r="G26" s="47"/>
      <c r="H26" s="47"/>
      <c r="I26" s="47"/>
      <c r="J26" s="47"/>
      <c r="K26" s="47"/>
    </row>
    <row r="27" spans="1:13" ht="14.45" x14ac:dyDescent="0.35">
      <c r="A27" s="79" t="s">
        <v>419</v>
      </c>
      <c r="B27" s="80"/>
      <c r="C27" s="81"/>
      <c r="D27" s="81"/>
      <c r="E27" s="82"/>
      <c r="F27" s="82"/>
      <c r="G27" s="82"/>
      <c r="H27" s="82"/>
      <c r="I27" s="82"/>
      <c r="J27" s="82"/>
      <c r="K27" s="82"/>
    </row>
    <row r="28" spans="1:13" ht="14.45" x14ac:dyDescent="0.35">
      <c r="A28" s="80" t="str">
        <f>B8</f>
        <v>Plough - Rev 2</v>
      </c>
      <c r="B28" s="80"/>
      <c r="C28" s="81">
        <f>H8</f>
        <v>180</v>
      </c>
      <c r="D28" s="81">
        <f>K8</f>
        <v>1500</v>
      </c>
      <c r="E28" s="82">
        <f>$C$28*$D$28*E23</f>
        <v>270000</v>
      </c>
      <c r="F28" s="82">
        <f t="shared" ref="F28:K28" si="7">$C$28*$D$28*F23</f>
        <v>283500</v>
      </c>
      <c r="G28" s="82">
        <f t="shared" si="7"/>
        <v>297675</v>
      </c>
      <c r="H28" s="82">
        <f t="shared" si="7"/>
        <v>312558.75000000006</v>
      </c>
      <c r="I28" s="82">
        <f t="shared" si="7"/>
        <v>328186.68750000006</v>
      </c>
      <c r="J28" s="82">
        <f t="shared" si="7"/>
        <v>344596.02187500009</v>
      </c>
      <c r="K28" s="82">
        <f t="shared" si="7"/>
        <v>361825.82296875009</v>
      </c>
    </row>
    <row r="29" spans="1:13" ht="14.45" x14ac:dyDescent="0.35">
      <c r="A29" s="80" t="str">
        <f>B9</f>
        <v>Mulcher - 5 Ft</v>
      </c>
      <c r="B29" s="80"/>
      <c r="C29" s="81">
        <f t="shared" ref="C29:C38" si="8">H9</f>
        <v>180</v>
      </c>
      <c r="D29" s="81">
        <f>K9</f>
        <v>1000</v>
      </c>
      <c r="E29" s="82">
        <f>$C$29*$D$29*E23</f>
        <v>180000</v>
      </c>
      <c r="F29" s="82">
        <f t="shared" ref="F29:K29" si="9">$C$29*$D$29*F23</f>
        <v>189000</v>
      </c>
      <c r="G29" s="82">
        <f t="shared" si="9"/>
        <v>198450</v>
      </c>
      <c r="H29" s="82">
        <f t="shared" si="9"/>
        <v>208372.50000000003</v>
      </c>
      <c r="I29" s="82">
        <f t="shared" si="9"/>
        <v>218791.12500000003</v>
      </c>
      <c r="J29" s="82">
        <f t="shared" si="9"/>
        <v>229730.68125000005</v>
      </c>
      <c r="K29" s="82">
        <f t="shared" si="9"/>
        <v>241217.21531250008</v>
      </c>
    </row>
    <row r="30" spans="1:13" ht="14.45" x14ac:dyDescent="0.35">
      <c r="A30" s="80" t="str">
        <f>B10</f>
        <v>Square Baler</v>
      </c>
      <c r="B30" s="80"/>
      <c r="C30" s="81">
        <f t="shared" si="8"/>
        <v>360</v>
      </c>
      <c r="D30" s="81">
        <f>K10</f>
        <v>1000</v>
      </c>
      <c r="E30" s="82">
        <f>$C$30*$D$30*E23</f>
        <v>360000</v>
      </c>
      <c r="F30" s="82">
        <f t="shared" ref="F30:K30" si="10">$C$30*$D$30*F23</f>
        <v>378000</v>
      </c>
      <c r="G30" s="82">
        <f t="shared" si="10"/>
        <v>396900</v>
      </c>
      <c r="H30" s="82">
        <f t="shared" si="10"/>
        <v>416745.00000000006</v>
      </c>
      <c r="I30" s="82">
        <f t="shared" si="10"/>
        <v>437582.25000000006</v>
      </c>
      <c r="J30" s="82">
        <f t="shared" si="10"/>
        <v>459461.3625000001</v>
      </c>
      <c r="K30" s="82">
        <f t="shared" si="10"/>
        <v>482434.43062500015</v>
      </c>
    </row>
    <row r="31" spans="1:13" ht="14.45" x14ac:dyDescent="0.35">
      <c r="A31" s="80" t="str">
        <f>B11</f>
        <v>PTO Hay Rake</v>
      </c>
      <c r="B31" s="80"/>
      <c r="C31" s="81">
        <f t="shared" si="8"/>
        <v>360</v>
      </c>
      <c r="D31" s="81">
        <f>K11</f>
        <v>1000</v>
      </c>
      <c r="E31" s="82">
        <f>$C$31*$D$31*E23</f>
        <v>360000</v>
      </c>
      <c r="F31" s="82">
        <f t="shared" ref="F31:K31" si="11">$C$31*$D$31*F23</f>
        <v>378000</v>
      </c>
      <c r="G31" s="82">
        <f t="shared" si="11"/>
        <v>396900</v>
      </c>
      <c r="H31" s="82">
        <f t="shared" si="11"/>
        <v>416745.00000000006</v>
      </c>
      <c r="I31" s="82">
        <f t="shared" si="11"/>
        <v>437582.25000000006</v>
      </c>
      <c r="J31" s="82">
        <f t="shared" si="11"/>
        <v>459461.3625000001</v>
      </c>
      <c r="K31" s="82">
        <f t="shared" si="11"/>
        <v>482434.43062500015</v>
      </c>
    </row>
    <row r="32" spans="1:13" ht="14.45" x14ac:dyDescent="0.35">
      <c r="A32" s="80" t="str">
        <f>B12</f>
        <v>Multicrop Tokri - drum 45"</v>
      </c>
      <c r="B32" s="80"/>
      <c r="C32" s="81">
        <f t="shared" si="8"/>
        <v>360</v>
      </c>
      <c r="D32" s="81">
        <f>K12</f>
        <v>1200</v>
      </c>
      <c r="E32" s="82">
        <f>$C$32*$D$32*E23</f>
        <v>432000</v>
      </c>
      <c r="F32" s="82">
        <f t="shared" ref="F32:K32" si="12">$C$32*$D$32*F23</f>
        <v>453600</v>
      </c>
      <c r="G32" s="82">
        <f t="shared" si="12"/>
        <v>476280</v>
      </c>
      <c r="H32" s="82">
        <f t="shared" si="12"/>
        <v>500094.00000000006</v>
      </c>
      <c r="I32" s="82">
        <f t="shared" si="12"/>
        <v>525098.70000000007</v>
      </c>
      <c r="J32" s="82">
        <f t="shared" si="12"/>
        <v>551353.63500000013</v>
      </c>
      <c r="K32" s="82">
        <f t="shared" si="12"/>
        <v>578921.31675000023</v>
      </c>
    </row>
    <row r="33" spans="1:11" ht="14.45" x14ac:dyDescent="0.35">
      <c r="A33" s="80" t="str">
        <f t="shared" ref="A33:A35" si="13">B13</f>
        <v>Rotavator - 6ft</v>
      </c>
      <c r="B33" s="80"/>
      <c r="C33" s="81">
        <f t="shared" si="8"/>
        <v>180</v>
      </c>
      <c r="D33" s="81">
        <f t="shared" ref="D33:D38" si="14">K13</f>
        <v>2000</v>
      </c>
      <c r="E33" s="82">
        <f>$C$33*$D$33*E23</f>
        <v>360000</v>
      </c>
      <c r="F33" s="82">
        <f t="shared" ref="F33:K33" si="15">$C$33*$D$33*F23</f>
        <v>378000</v>
      </c>
      <c r="G33" s="82">
        <f t="shared" si="15"/>
        <v>396900</v>
      </c>
      <c r="H33" s="82">
        <f t="shared" si="15"/>
        <v>416745.00000000006</v>
      </c>
      <c r="I33" s="82">
        <f t="shared" si="15"/>
        <v>437582.25000000006</v>
      </c>
      <c r="J33" s="82">
        <f t="shared" si="15"/>
        <v>459461.3625000001</v>
      </c>
      <c r="K33" s="82">
        <f t="shared" si="15"/>
        <v>482434.43062500015</v>
      </c>
    </row>
    <row r="34" spans="1:11" ht="14.45" x14ac:dyDescent="0.35">
      <c r="A34" s="80" t="str">
        <f t="shared" si="13"/>
        <v>Spice Grinding Machine - 25-30 Kg</v>
      </c>
      <c r="B34" s="80"/>
      <c r="C34" s="81">
        <f>D14*E14</f>
        <v>1080</v>
      </c>
      <c r="D34" s="81">
        <f t="shared" si="14"/>
        <v>200</v>
      </c>
      <c r="E34" s="82">
        <f>$C$34*$D$34*E23</f>
        <v>216000</v>
      </c>
      <c r="F34" s="82">
        <f t="shared" ref="F34:K34" si="16">$C$34*$D$34*F23</f>
        <v>226800</v>
      </c>
      <c r="G34" s="82">
        <f t="shared" si="16"/>
        <v>238140</v>
      </c>
      <c r="H34" s="82">
        <f t="shared" si="16"/>
        <v>250047.00000000003</v>
      </c>
      <c r="I34" s="82">
        <f t="shared" si="16"/>
        <v>262549.35000000003</v>
      </c>
      <c r="J34" s="82">
        <f t="shared" si="16"/>
        <v>275676.81750000006</v>
      </c>
      <c r="K34" s="82">
        <f t="shared" si="16"/>
        <v>289460.65837500012</v>
      </c>
    </row>
    <row r="35" spans="1:11" ht="14.45" hidden="1" x14ac:dyDescent="0.35">
      <c r="A35" s="80">
        <f t="shared" si="13"/>
        <v>0</v>
      </c>
      <c r="B35" s="80"/>
      <c r="C35" s="81">
        <f t="shared" si="8"/>
        <v>0</v>
      </c>
      <c r="D35" s="81">
        <f t="shared" si="14"/>
        <v>0</v>
      </c>
      <c r="E35" s="82">
        <f>$C$35*$D$35*E23</f>
        <v>0</v>
      </c>
      <c r="F35" s="82">
        <f t="shared" ref="F35:K35" si="17">$C$35*$D$35*F23</f>
        <v>0</v>
      </c>
      <c r="G35" s="82">
        <f t="shared" si="17"/>
        <v>0</v>
      </c>
      <c r="H35" s="82">
        <f t="shared" si="17"/>
        <v>0</v>
      </c>
      <c r="I35" s="82">
        <f t="shared" si="17"/>
        <v>0</v>
      </c>
      <c r="J35" s="82">
        <f t="shared" si="17"/>
        <v>0</v>
      </c>
      <c r="K35" s="82">
        <f t="shared" si="17"/>
        <v>0</v>
      </c>
    </row>
    <row r="36" spans="1:11" ht="14.45" hidden="1" x14ac:dyDescent="0.35">
      <c r="A36" s="80"/>
      <c r="B36" s="80"/>
      <c r="C36" s="81">
        <f t="shared" si="8"/>
        <v>0</v>
      </c>
      <c r="D36" s="81">
        <f t="shared" si="14"/>
        <v>0</v>
      </c>
      <c r="E36" s="82">
        <f>$C$36*$D$36*E23</f>
        <v>0</v>
      </c>
      <c r="F36" s="82">
        <f t="shared" ref="F36:K36" si="18">$C$36*$D$36*F23</f>
        <v>0</v>
      </c>
      <c r="G36" s="82">
        <f t="shared" si="18"/>
        <v>0</v>
      </c>
      <c r="H36" s="82">
        <f t="shared" si="18"/>
        <v>0</v>
      </c>
      <c r="I36" s="82">
        <f t="shared" si="18"/>
        <v>0</v>
      </c>
      <c r="J36" s="82">
        <f t="shared" si="18"/>
        <v>0</v>
      </c>
      <c r="K36" s="82">
        <f t="shared" si="18"/>
        <v>0</v>
      </c>
    </row>
    <row r="37" spans="1:11" ht="14.45" hidden="1" x14ac:dyDescent="0.35">
      <c r="A37" s="80"/>
      <c r="B37" s="80"/>
      <c r="C37" s="81">
        <f t="shared" si="8"/>
        <v>0</v>
      </c>
      <c r="D37" s="81">
        <f t="shared" si="14"/>
        <v>0</v>
      </c>
      <c r="E37" s="82">
        <f>$C$37*$D$37*E23</f>
        <v>0</v>
      </c>
      <c r="F37" s="82">
        <f t="shared" ref="F37:K37" si="19">$C$37*$D$37*F23</f>
        <v>0</v>
      </c>
      <c r="G37" s="82">
        <f t="shared" si="19"/>
        <v>0</v>
      </c>
      <c r="H37" s="82">
        <f t="shared" si="19"/>
        <v>0</v>
      </c>
      <c r="I37" s="82">
        <f t="shared" si="19"/>
        <v>0</v>
      </c>
      <c r="J37" s="82">
        <f t="shared" si="19"/>
        <v>0</v>
      </c>
      <c r="K37" s="82">
        <f t="shared" si="19"/>
        <v>0</v>
      </c>
    </row>
    <row r="38" spans="1:11" ht="14.45" hidden="1" x14ac:dyDescent="0.35">
      <c r="A38" s="78"/>
      <c r="B38" s="78"/>
      <c r="C38" s="81">
        <f t="shared" si="8"/>
        <v>0</v>
      </c>
      <c r="D38" s="81">
        <f t="shared" si="14"/>
        <v>0</v>
      </c>
      <c r="E38" s="82">
        <f>$C$38*$D$38*E23</f>
        <v>0</v>
      </c>
      <c r="F38" s="82">
        <f t="shared" ref="F38:K38" si="20">$C$38*$D$38*F23</f>
        <v>0</v>
      </c>
      <c r="G38" s="82">
        <f t="shared" si="20"/>
        <v>0</v>
      </c>
      <c r="H38" s="82">
        <f t="shared" si="20"/>
        <v>0</v>
      </c>
      <c r="I38" s="82">
        <f t="shared" si="20"/>
        <v>0</v>
      </c>
      <c r="J38" s="82">
        <f t="shared" si="20"/>
        <v>0</v>
      </c>
      <c r="K38" s="82">
        <f t="shared" si="20"/>
        <v>0</v>
      </c>
    </row>
    <row r="39" spans="1:11" ht="14.45" x14ac:dyDescent="0.35">
      <c r="A39" s="78" t="s">
        <v>142</v>
      </c>
      <c r="B39" s="78"/>
      <c r="C39" s="83"/>
      <c r="D39" s="83"/>
      <c r="E39" s="84">
        <f>SUM(E28:E38)</f>
        <v>2178000</v>
      </c>
      <c r="F39" s="84">
        <f t="shared" ref="F39:K39" si="21">SUM(F28:F38)</f>
        <v>2286900</v>
      </c>
      <c r="G39" s="84">
        <f t="shared" si="21"/>
        <v>2401245</v>
      </c>
      <c r="H39" s="84">
        <f t="shared" si="21"/>
        <v>2521307.2500000005</v>
      </c>
      <c r="I39" s="84">
        <f t="shared" si="21"/>
        <v>2647372.6125000003</v>
      </c>
      <c r="J39" s="84">
        <f t="shared" si="21"/>
        <v>2779741.2431250005</v>
      </c>
      <c r="K39" s="84">
        <f t="shared" si="21"/>
        <v>2918728.3052812507</v>
      </c>
    </row>
    <row r="40" spans="1:11" ht="14.45" x14ac:dyDescent="0.35">
      <c r="A40" s="47"/>
      <c r="B40" s="47"/>
      <c r="C40" s="70"/>
      <c r="D40" s="70"/>
      <c r="E40" s="82"/>
      <c r="F40" s="82"/>
      <c r="G40" s="82"/>
      <c r="H40" s="82"/>
      <c r="I40" s="82"/>
      <c r="J40" s="82"/>
      <c r="K40" s="82"/>
    </row>
    <row r="41" spans="1:11" ht="14.45" x14ac:dyDescent="0.35">
      <c r="A41" s="78" t="s">
        <v>141</v>
      </c>
      <c r="B41" s="78"/>
      <c r="C41" s="83"/>
      <c r="D41" s="83"/>
      <c r="E41" s="82"/>
      <c r="F41" s="82"/>
      <c r="G41" s="82"/>
      <c r="H41" s="82"/>
      <c r="I41" s="82"/>
      <c r="J41" s="82"/>
      <c r="K41" s="82"/>
    </row>
    <row r="42" spans="1:11" ht="14.45" x14ac:dyDescent="0.35">
      <c r="A42" s="78" t="s">
        <v>290</v>
      </c>
      <c r="B42" s="78"/>
      <c r="C42" s="83"/>
      <c r="D42" s="83"/>
      <c r="E42" s="82"/>
      <c r="F42" s="82"/>
      <c r="G42" s="82"/>
      <c r="H42" s="82"/>
      <c r="I42" s="82"/>
      <c r="J42" s="82"/>
      <c r="K42" s="82"/>
    </row>
    <row r="43" spans="1:11" ht="14.45" x14ac:dyDescent="0.35">
      <c r="A43" s="47" t="s">
        <v>291</v>
      </c>
      <c r="B43" s="47" t="s">
        <v>416</v>
      </c>
      <c r="C43" s="70">
        <f>SUM(J8:J17)</f>
        <v>12240</v>
      </c>
      <c r="D43" s="85">
        <v>100</v>
      </c>
      <c r="E43" s="82">
        <f>$C$43*$D$43*E23</f>
        <v>1224000</v>
      </c>
      <c r="F43" s="82">
        <f t="shared" ref="F43:K43" si="22">$C$43*$D$43*F23</f>
        <v>1285200</v>
      </c>
      <c r="G43" s="82">
        <f t="shared" si="22"/>
        <v>1349460</v>
      </c>
      <c r="H43" s="82">
        <f t="shared" si="22"/>
        <v>1416933.0000000002</v>
      </c>
      <c r="I43" s="82">
        <f t="shared" si="22"/>
        <v>1487779.6500000004</v>
      </c>
      <c r="J43" s="82">
        <f t="shared" si="22"/>
        <v>1562168.6325000005</v>
      </c>
      <c r="K43" s="82">
        <f t="shared" si="22"/>
        <v>1640277.0641250005</v>
      </c>
    </row>
    <row r="44" spans="1:11" ht="14.45" x14ac:dyDescent="0.35">
      <c r="A44" s="47" t="s">
        <v>292</v>
      </c>
      <c r="B44" s="47" t="s">
        <v>418</v>
      </c>
      <c r="C44" s="70">
        <f>SUM(M8:M17)</f>
        <v>900</v>
      </c>
      <c r="D44" s="85">
        <v>300</v>
      </c>
      <c r="E44" s="82">
        <f>$C$44*$D$44*E23</f>
        <v>270000</v>
      </c>
      <c r="F44" s="82">
        <f t="shared" ref="F44:K44" si="23">$C$44*$D$44*F23</f>
        <v>283500</v>
      </c>
      <c r="G44" s="82">
        <f t="shared" si="23"/>
        <v>297675</v>
      </c>
      <c r="H44" s="82">
        <f t="shared" si="23"/>
        <v>312558.75000000006</v>
      </c>
      <c r="I44" s="82">
        <f t="shared" si="23"/>
        <v>328186.68750000006</v>
      </c>
      <c r="J44" s="82">
        <f t="shared" si="23"/>
        <v>344596.02187500009</v>
      </c>
      <c r="K44" s="82">
        <f t="shared" si="23"/>
        <v>361825.82296875009</v>
      </c>
    </row>
    <row r="45" spans="1:11" ht="14.45" x14ac:dyDescent="0.35">
      <c r="A45" s="47" t="s">
        <v>730</v>
      </c>
      <c r="B45" s="47"/>
      <c r="C45" s="85">
        <f>'2.Capex Details'!H82*0.746*8</f>
        <v>29.84</v>
      </c>
      <c r="D45" s="85">
        <f>C34</f>
        <v>1080</v>
      </c>
      <c r="E45" s="82">
        <f>$C$45*$D$45*E$23</f>
        <v>32227.200000000001</v>
      </c>
      <c r="F45" s="82">
        <f t="shared" ref="F45:K45" si="24">$C$45*$D$45*F$23</f>
        <v>33838.560000000005</v>
      </c>
      <c r="G45" s="82">
        <f t="shared" si="24"/>
        <v>35530.488000000005</v>
      </c>
      <c r="H45" s="82">
        <f t="shared" si="24"/>
        <v>37307.012400000007</v>
      </c>
      <c r="I45" s="82">
        <f t="shared" si="24"/>
        <v>39172.363020000012</v>
      </c>
      <c r="J45" s="82">
        <f t="shared" si="24"/>
        <v>41130.981171000014</v>
      </c>
      <c r="K45" s="82">
        <f t="shared" si="24"/>
        <v>43187.530229550015</v>
      </c>
    </row>
    <row r="46" spans="1:11" ht="14.45" hidden="1" x14ac:dyDescent="0.35">
      <c r="A46" s="47"/>
      <c r="B46" s="47"/>
      <c r="C46" s="85"/>
      <c r="D46" s="85"/>
      <c r="E46" s="82"/>
      <c r="F46" s="82"/>
      <c r="G46" s="82"/>
      <c r="H46" s="82"/>
      <c r="I46" s="82"/>
      <c r="J46" s="82"/>
      <c r="K46" s="82"/>
    </row>
    <row r="47" spans="1:11" ht="14.45" hidden="1" x14ac:dyDescent="0.35">
      <c r="A47" s="47"/>
      <c r="B47" s="47"/>
      <c r="C47" s="85"/>
      <c r="D47" s="85"/>
      <c r="E47" s="82"/>
      <c r="F47" s="82"/>
      <c r="G47" s="82"/>
      <c r="H47" s="82"/>
      <c r="I47" s="82"/>
      <c r="J47" s="82"/>
      <c r="K47" s="82"/>
    </row>
    <row r="48" spans="1:11" ht="14.45" hidden="1" x14ac:dyDescent="0.35">
      <c r="A48" s="47"/>
      <c r="B48" s="47"/>
      <c r="C48" s="85"/>
      <c r="D48" s="85"/>
      <c r="E48" s="82"/>
      <c r="F48" s="82"/>
      <c r="G48" s="82"/>
      <c r="H48" s="82"/>
      <c r="I48" s="82"/>
      <c r="J48" s="82"/>
      <c r="K48" s="82"/>
    </row>
    <row r="49" spans="1:12" ht="14.45" x14ac:dyDescent="0.35">
      <c r="A49" s="78" t="s">
        <v>306</v>
      </c>
      <c r="B49" s="78"/>
      <c r="C49" s="86"/>
      <c r="D49" s="86"/>
      <c r="E49" s="84">
        <f>SUM(E43:E48)</f>
        <v>1526227.2</v>
      </c>
      <c r="F49" s="84">
        <f t="shared" ref="F49:K49" si="25">SUM(F43:F48)</f>
        <v>1602538.56</v>
      </c>
      <c r="G49" s="84">
        <f t="shared" si="25"/>
        <v>1682665.4879999999</v>
      </c>
      <c r="H49" s="84">
        <f t="shared" si="25"/>
        <v>1766798.7624000004</v>
      </c>
      <c r="I49" s="84">
        <f t="shared" si="25"/>
        <v>1855138.7005200004</v>
      </c>
      <c r="J49" s="84">
        <f t="shared" si="25"/>
        <v>1947895.6355460007</v>
      </c>
      <c r="K49" s="84">
        <f t="shared" si="25"/>
        <v>2045290.4173233006</v>
      </c>
    </row>
    <row r="50" spans="1:12" ht="14.45" x14ac:dyDescent="0.35">
      <c r="A50" s="78"/>
      <c r="B50" s="78"/>
      <c r="C50" s="86"/>
      <c r="D50" s="86"/>
      <c r="E50" s="84"/>
      <c r="F50" s="84"/>
      <c r="G50" s="84"/>
      <c r="H50" s="84"/>
      <c r="I50" s="84"/>
      <c r="J50" s="84"/>
      <c r="K50" s="84"/>
    </row>
    <row r="51" spans="1:12" ht="14.45" x14ac:dyDescent="0.35">
      <c r="A51" s="79" t="s">
        <v>293</v>
      </c>
      <c r="B51" s="79"/>
      <c r="C51" s="87"/>
      <c r="D51" s="87"/>
      <c r="E51" s="82"/>
      <c r="F51" s="82"/>
      <c r="G51" s="82"/>
      <c r="H51" s="82"/>
      <c r="I51" s="82"/>
      <c r="J51" s="82"/>
      <c r="K51" s="82"/>
    </row>
    <row r="52" spans="1:12" ht="14.45" x14ac:dyDescent="0.35">
      <c r="A52" s="80" t="s">
        <v>294</v>
      </c>
      <c r="B52" s="47" t="s">
        <v>367</v>
      </c>
      <c r="C52" s="87">
        <v>1</v>
      </c>
      <c r="D52" s="88">
        <v>15000</v>
      </c>
      <c r="E52" s="82">
        <f>$C52*$D52*12*E$23</f>
        <v>180000</v>
      </c>
      <c r="F52" s="82">
        <f t="shared" ref="F52:K52" si="26">$C$52*$D$52*12*F23</f>
        <v>189000</v>
      </c>
      <c r="G52" s="82">
        <f t="shared" si="26"/>
        <v>198450</v>
      </c>
      <c r="H52" s="82">
        <f t="shared" si="26"/>
        <v>208372.50000000003</v>
      </c>
      <c r="I52" s="82">
        <f t="shared" si="26"/>
        <v>218791.12500000003</v>
      </c>
      <c r="J52" s="82">
        <f t="shared" si="26"/>
        <v>229730.68125000005</v>
      </c>
      <c r="K52" s="82">
        <f t="shared" si="26"/>
        <v>241217.21531250008</v>
      </c>
    </row>
    <row r="53" spans="1:12" ht="14.45" x14ac:dyDescent="0.35">
      <c r="A53" s="80" t="s">
        <v>176</v>
      </c>
      <c r="B53" s="47" t="s">
        <v>367</v>
      </c>
      <c r="C53" s="87">
        <v>2</v>
      </c>
      <c r="D53" s="88">
        <v>15000</v>
      </c>
      <c r="E53" s="82">
        <f>$C53*$D53*12*E$23</f>
        <v>360000</v>
      </c>
      <c r="F53" s="82">
        <f t="shared" ref="F53:K53" si="27">$C53*$D53*12*F$23</f>
        <v>378000</v>
      </c>
      <c r="G53" s="82">
        <f t="shared" si="27"/>
        <v>396900</v>
      </c>
      <c r="H53" s="82">
        <f t="shared" si="27"/>
        <v>416745.00000000006</v>
      </c>
      <c r="I53" s="82">
        <f t="shared" si="27"/>
        <v>437582.25000000006</v>
      </c>
      <c r="J53" s="82">
        <f t="shared" si="27"/>
        <v>459461.3625000001</v>
      </c>
      <c r="K53" s="82">
        <f t="shared" si="27"/>
        <v>482434.43062500015</v>
      </c>
    </row>
    <row r="54" spans="1:12" ht="14.45" x14ac:dyDescent="0.35">
      <c r="A54" s="80"/>
      <c r="B54" s="80"/>
      <c r="C54" s="87"/>
      <c r="D54" s="88"/>
      <c r="E54" s="82"/>
      <c r="F54" s="82"/>
      <c r="G54" s="82"/>
      <c r="H54" s="82"/>
      <c r="I54" s="82"/>
      <c r="J54" s="82"/>
      <c r="K54" s="82"/>
    </row>
    <row r="55" spans="1:12" ht="14.45" x14ac:dyDescent="0.35">
      <c r="A55" s="80"/>
      <c r="B55" s="80"/>
      <c r="C55" s="87"/>
      <c r="D55" s="88"/>
      <c r="E55" s="82"/>
      <c r="F55" s="82"/>
      <c r="G55" s="82"/>
      <c r="H55" s="82"/>
      <c r="I55" s="82"/>
      <c r="J55" s="82"/>
      <c r="K55" s="82"/>
    </row>
    <row r="56" spans="1:12" x14ac:dyDescent="0.25">
      <c r="A56" s="78" t="s">
        <v>310</v>
      </c>
      <c r="B56" s="78"/>
      <c r="C56" s="78"/>
      <c r="D56" s="78"/>
      <c r="E56" s="84">
        <f>SUM(E52:E55)</f>
        <v>540000</v>
      </c>
      <c r="F56" s="84">
        <f t="shared" ref="F56:K56" si="28">SUM(F52:F55)</f>
        <v>567000</v>
      </c>
      <c r="G56" s="84">
        <f t="shared" si="28"/>
        <v>595350</v>
      </c>
      <c r="H56" s="84">
        <f t="shared" si="28"/>
        <v>625117.50000000012</v>
      </c>
      <c r="I56" s="84">
        <f t="shared" si="28"/>
        <v>656373.37500000012</v>
      </c>
      <c r="J56" s="84">
        <f t="shared" si="28"/>
        <v>689192.04375000019</v>
      </c>
      <c r="K56" s="84">
        <f t="shared" si="28"/>
        <v>723651.64593750029</v>
      </c>
    </row>
    <row r="57" spans="1:12" x14ac:dyDescent="0.25">
      <c r="A57" s="78" t="s">
        <v>129</v>
      </c>
      <c r="B57" s="78"/>
      <c r="C57" s="78"/>
      <c r="D57" s="78"/>
      <c r="E57" s="84">
        <f>E49+E56</f>
        <v>2066227.2</v>
      </c>
      <c r="F57" s="84">
        <f t="shared" ref="F57:K57" si="29">F49+F56</f>
        <v>2169538.5600000001</v>
      </c>
      <c r="G57" s="84">
        <f t="shared" si="29"/>
        <v>2278015.4879999999</v>
      </c>
      <c r="H57" s="84">
        <f t="shared" si="29"/>
        <v>2391916.2624000004</v>
      </c>
      <c r="I57" s="84">
        <f t="shared" si="29"/>
        <v>2511512.0755200004</v>
      </c>
      <c r="J57" s="84">
        <f t="shared" si="29"/>
        <v>2637087.6792960009</v>
      </c>
      <c r="K57" s="84">
        <f t="shared" si="29"/>
        <v>2768942.0632608011</v>
      </c>
    </row>
    <row r="58" spans="1:12" x14ac:dyDescent="0.25">
      <c r="A58" s="47"/>
      <c r="B58" s="47"/>
      <c r="C58" s="47"/>
      <c r="D58" s="47"/>
      <c r="E58" s="82"/>
      <c r="F58" s="82"/>
      <c r="G58" s="82"/>
      <c r="H58" s="82"/>
      <c r="I58" s="82"/>
      <c r="J58" s="82"/>
      <c r="K58" s="82"/>
    </row>
    <row r="59" spans="1:12" x14ac:dyDescent="0.25">
      <c r="A59" s="78" t="s">
        <v>297</v>
      </c>
      <c r="B59" s="78"/>
      <c r="C59" s="78"/>
      <c r="D59" s="78"/>
      <c r="E59" s="84">
        <f t="shared" ref="E59:K59" si="30">E39-E57</f>
        <v>111772.80000000005</v>
      </c>
      <c r="F59" s="84">
        <f t="shared" si="30"/>
        <v>117361.43999999994</v>
      </c>
      <c r="G59" s="84">
        <f t="shared" si="30"/>
        <v>123229.5120000001</v>
      </c>
      <c r="H59" s="84">
        <f t="shared" si="30"/>
        <v>129390.98760000011</v>
      </c>
      <c r="I59" s="84">
        <f t="shared" si="30"/>
        <v>135860.53697999986</v>
      </c>
      <c r="J59" s="84">
        <f t="shared" si="30"/>
        <v>142653.56382899964</v>
      </c>
      <c r="K59" s="84">
        <f t="shared" si="30"/>
        <v>149786.2420204496</v>
      </c>
    </row>
    <row r="60" spans="1:12" x14ac:dyDescent="0.25">
      <c r="A60" s="89"/>
      <c r="B60" s="89"/>
      <c r="C60" s="89"/>
      <c r="D60" s="89"/>
      <c r="E60" s="90"/>
      <c r="F60" s="90"/>
      <c r="G60" s="90"/>
      <c r="H60" s="90"/>
      <c r="I60" s="90"/>
      <c r="J60" s="90"/>
      <c r="K60" s="90"/>
    </row>
    <row r="61" spans="1:12" x14ac:dyDescent="0.25">
      <c r="C61" s="89"/>
      <c r="D61" s="89"/>
      <c r="E61" s="90"/>
      <c r="F61" s="90"/>
      <c r="G61" s="90"/>
      <c r="H61" s="90"/>
      <c r="I61" s="90"/>
      <c r="J61" s="90"/>
      <c r="K61" s="90"/>
    </row>
    <row r="62" spans="1:12" x14ac:dyDescent="0.25">
      <c r="A62" s="427" t="s">
        <v>396</v>
      </c>
      <c r="B62" s="427"/>
      <c r="C62" s="427"/>
      <c r="D62" s="427"/>
      <c r="E62" s="427"/>
      <c r="F62" s="427"/>
      <c r="G62" s="427"/>
      <c r="H62" s="427"/>
      <c r="I62" s="427"/>
      <c r="J62" s="427"/>
      <c r="K62" s="427"/>
      <c r="L62" s="427"/>
    </row>
    <row r="65" spans="1:2" x14ac:dyDescent="0.25">
      <c r="A65" s="39" t="s">
        <v>491</v>
      </c>
    </row>
    <row r="66" spans="1:2" x14ac:dyDescent="0.25">
      <c r="A66" s="39">
        <v>1</v>
      </c>
      <c r="B66" s="39" t="s">
        <v>504</v>
      </c>
    </row>
    <row r="67" spans="1:2" x14ac:dyDescent="0.25">
      <c r="A67" s="39">
        <v>2</v>
      </c>
      <c r="B67" s="39" t="s">
        <v>505</v>
      </c>
    </row>
    <row r="68" spans="1:2" x14ac:dyDescent="0.25">
      <c r="A68" s="39">
        <v>3</v>
      </c>
      <c r="B68" s="39" t="s">
        <v>554</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9"/>
  <sheetViews>
    <sheetView workbookViewId="0">
      <selection activeCell="C3" sqref="C3:H10"/>
    </sheetView>
  </sheetViews>
  <sheetFormatPr defaultRowHeight="15" x14ac:dyDescent="0.25"/>
  <cols>
    <col min="4" max="4" width="15.140625" customWidth="1"/>
    <col min="5" max="5" width="12.140625" customWidth="1"/>
    <col min="6" max="6" width="13.42578125" customWidth="1"/>
  </cols>
  <sheetData>
    <row r="3" spans="3:12" s="405" customFormat="1" ht="60" x14ac:dyDescent="0.25">
      <c r="C3" s="405" t="s">
        <v>371</v>
      </c>
      <c r="D3" s="405" t="s">
        <v>431</v>
      </c>
      <c r="E3" s="405" t="s">
        <v>372</v>
      </c>
      <c r="F3" s="405" t="s">
        <v>373</v>
      </c>
      <c r="G3" s="405" t="s">
        <v>746</v>
      </c>
      <c r="H3" s="405" t="s">
        <v>747</v>
      </c>
    </row>
    <row r="4" spans="3:12" x14ac:dyDescent="0.25">
      <c r="C4" t="s">
        <v>375</v>
      </c>
      <c r="D4">
        <v>1400</v>
      </c>
      <c r="E4">
        <v>21000</v>
      </c>
      <c r="F4" s="406">
        <v>20790</v>
      </c>
      <c r="G4" s="406">
        <v>5197.5</v>
      </c>
      <c r="H4" s="502">
        <v>55</v>
      </c>
    </row>
    <row r="5" spans="3:12" x14ac:dyDescent="0.25">
      <c r="C5" t="s">
        <v>452</v>
      </c>
      <c r="D5">
        <v>2240</v>
      </c>
      <c r="E5">
        <v>11200</v>
      </c>
      <c r="F5" s="406">
        <v>11088</v>
      </c>
      <c r="G5" s="406">
        <v>6098.4</v>
      </c>
      <c r="H5" s="502"/>
    </row>
    <row r="6" spans="3:12" x14ac:dyDescent="0.25">
      <c r="C6" t="s">
        <v>446</v>
      </c>
      <c r="D6">
        <v>560</v>
      </c>
      <c r="E6">
        <v>5600</v>
      </c>
      <c r="F6" s="406">
        <v>5488</v>
      </c>
      <c r="G6" s="406">
        <v>3018.3999999999996</v>
      </c>
      <c r="H6" s="502"/>
    </row>
    <row r="7" spans="3:12" x14ac:dyDescent="0.25">
      <c r="C7" t="s">
        <v>377</v>
      </c>
      <c r="D7">
        <v>448</v>
      </c>
      <c r="E7">
        <v>6720</v>
      </c>
      <c r="F7" s="406">
        <v>6585.6</v>
      </c>
      <c r="G7" s="406">
        <v>3622.08</v>
      </c>
      <c r="H7" s="502"/>
    </row>
    <row r="8" spans="3:12" x14ac:dyDescent="0.25">
      <c r="C8" t="s">
        <v>378</v>
      </c>
      <c r="D8">
        <v>1792</v>
      </c>
      <c r="E8">
        <v>12544</v>
      </c>
      <c r="F8" s="406">
        <v>12418.56</v>
      </c>
      <c r="G8" s="406">
        <v>6830.2079999999996</v>
      </c>
      <c r="H8" s="502"/>
    </row>
    <row r="9" spans="3:12" x14ac:dyDescent="0.25">
      <c r="C9" t="s">
        <v>379</v>
      </c>
      <c r="D9">
        <v>672</v>
      </c>
      <c r="E9">
        <v>6720</v>
      </c>
      <c r="F9" s="406">
        <v>6585.6</v>
      </c>
      <c r="G9" s="406">
        <v>3622.08</v>
      </c>
      <c r="H9" s="502"/>
    </row>
    <row r="10" spans="3:12" x14ac:dyDescent="0.25">
      <c r="C10" t="s">
        <v>375</v>
      </c>
      <c r="D10">
        <v>896</v>
      </c>
      <c r="E10">
        <v>13440</v>
      </c>
      <c r="F10" s="406">
        <v>13305.6</v>
      </c>
      <c r="G10" s="406">
        <v>3326.4</v>
      </c>
      <c r="H10" s="502"/>
    </row>
    <row r="13" spans="3:12" x14ac:dyDescent="0.25">
      <c r="J13">
        <v>5197.5</v>
      </c>
      <c r="L13">
        <f>+J13+K13</f>
        <v>5197.5</v>
      </c>
    </row>
    <row r="14" spans="3:12" x14ac:dyDescent="0.25">
      <c r="J14">
        <v>2772</v>
      </c>
      <c r="K14">
        <v>3326.4</v>
      </c>
      <c r="L14">
        <f t="shared" ref="L14:L19" si="0">+J14+K14</f>
        <v>6098.4</v>
      </c>
    </row>
    <row r="15" spans="3:12" x14ac:dyDescent="0.25">
      <c r="J15">
        <v>1372</v>
      </c>
      <c r="K15">
        <v>1646.3999999999999</v>
      </c>
      <c r="L15">
        <f t="shared" si="0"/>
        <v>3018.3999999999996</v>
      </c>
    </row>
    <row r="16" spans="3:12" x14ac:dyDescent="0.25">
      <c r="J16">
        <v>1646.4</v>
      </c>
      <c r="K16">
        <v>1975.68</v>
      </c>
      <c r="L16">
        <f t="shared" si="0"/>
        <v>3622.08</v>
      </c>
    </row>
    <row r="17" spans="10:12" x14ac:dyDescent="0.25">
      <c r="J17">
        <v>3104.64</v>
      </c>
      <c r="K17">
        <v>3725.5679999999998</v>
      </c>
      <c r="L17">
        <f t="shared" si="0"/>
        <v>6830.2079999999996</v>
      </c>
    </row>
    <row r="18" spans="10:12" x14ac:dyDescent="0.25">
      <c r="J18">
        <v>1646.4</v>
      </c>
      <c r="K18">
        <v>1975.68</v>
      </c>
      <c r="L18">
        <f t="shared" si="0"/>
        <v>3622.08</v>
      </c>
    </row>
    <row r="19" spans="10:12" x14ac:dyDescent="0.25">
      <c r="J19">
        <v>3326.4</v>
      </c>
      <c r="L19">
        <f t="shared" si="0"/>
        <v>3326.4</v>
      </c>
    </row>
  </sheetData>
  <mergeCells count="1">
    <mergeCell ref="H4: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workbookViewId="0">
      <selection activeCell="D28" sqref="D28"/>
    </sheetView>
  </sheetViews>
  <sheetFormatPr defaultColWidth="8.7109375" defaultRowHeight="15" x14ac:dyDescent="0.25"/>
  <cols>
    <col min="1" max="1" width="8.7109375" style="39"/>
    <col min="2" max="2" width="7.5703125" style="39" bestFit="1" customWidth="1"/>
    <col min="3" max="3" width="26.28515625" style="39" bestFit="1" customWidth="1"/>
    <col min="4" max="4" width="15" style="39" customWidth="1"/>
    <col min="5" max="5" width="16" style="39" customWidth="1"/>
    <col min="6" max="6" width="17.85546875" style="39" customWidth="1"/>
    <col min="7" max="16384" width="8.7109375" style="39"/>
  </cols>
  <sheetData>
    <row r="2" spans="1:12" ht="14.45" x14ac:dyDescent="0.35">
      <c r="B2" s="427" t="s">
        <v>507</v>
      </c>
      <c r="C2" s="427"/>
      <c r="D2" s="427"/>
      <c r="E2" s="427"/>
      <c r="F2" s="427"/>
    </row>
    <row r="4" spans="1:12" ht="14.45" x14ac:dyDescent="0.35">
      <c r="B4" s="40" t="s">
        <v>144</v>
      </c>
      <c r="C4" s="40" t="s">
        <v>127</v>
      </c>
      <c r="D4" s="40" t="s">
        <v>156</v>
      </c>
      <c r="E4" s="41" t="s">
        <v>438</v>
      </c>
      <c r="F4" s="41" t="s">
        <v>439</v>
      </c>
    </row>
    <row r="5" spans="1:12" ht="14.45" x14ac:dyDescent="0.35">
      <c r="B5" s="42">
        <v>1</v>
      </c>
      <c r="C5" s="43" t="str">
        <f>'2.Capex Details'!B2</f>
        <v>Land and Building</v>
      </c>
      <c r="D5" s="44">
        <f>'2.Capex Details'!G9</f>
        <v>19269473</v>
      </c>
      <c r="E5" s="45">
        <v>0.6</v>
      </c>
      <c r="F5" s="46">
        <f>D5*E5</f>
        <v>11561683.799999999</v>
      </c>
      <c r="K5" s="39">
        <v>19269540</v>
      </c>
    </row>
    <row r="6" spans="1:12" ht="14.45" x14ac:dyDescent="0.35">
      <c r="B6" s="42">
        <v>2</v>
      </c>
      <c r="C6" s="43" t="str">
        <f>'2.Capex Details'!B14</f>
        <v>Machinery and Equipment</v>
      </c>
      <c r="D6" s="44">
        <f>'2.Capex Details'!G85</f>
        <v>14463233</v>
      </c>
      <c r="E6" s="45">
        <v>0.6</v>
      </c>
      <c r="F6" s="46">
        <f t="shared" ref="F6:F10" si="0">D6*E6</f>
        <v>8677939.7999999989</v>
      </c>
      <c r="K6" s="39">
        <v>14463233</v>
      </c>
    </row>
    <row r="7" spans="1:12" ht="14.45" x14ac:dyDescent="0.35">
      <c r="B7" s="42">
        <v>3</v>
      </c>
      <c r="C7" s="43" t="str">
        <f>'2.Capex Details'!B91</f>
        <v>Furniture and Fixture</v>
      </c>
      <c r="D7" s="44">
        <f>'2.Capex Details'!F100</f>
        <v>1099575</v>
      </c>
      <c r="E7" s="45">
        <v>0.6</v>
      </c>
      <c r="F7" s="46">
        <f t="shared" si="0"/>
        <v>659745</v>
      </c>
      <c r="K7" s="39">
        <v>1099575</v>
      </c>
    </row>
    <row r="8" spans="1:12" ht="14.45" x14ac:dyDescent="0.35">
      <c r="B8" s="42">
        <v>4</v>
      </c>
      <c r="C8" s="43" t="str">
        <f>'2.Capex Details'!B105</f>
        <v>IT &amp; It Infrastracture</v>
      </c>
      <c r="D8" s="44">
        <f>'2.Capex Details'!F114</f>
        <v>697395</v>
      </c>
      <c r="E8" s="45">
        <v>0.6</v>
      </c>
      <c r="F8" s="46">
        <f t="shared" si="0"/>
        <v>418437</v>
      </c>
      <c r="K8" s="39">
        <v>697395</v>
      </c>
    </row>
    <row r="9" spans="1:12" ht="29.1" x14ac:dyDescent="0.35">
      <c r="B9" s="42">
        <v>5</v>
      </c>
      <c r="C9" s="43" t="str">
        <f>'2.Capex Details'!B119</f>
        <v>Transport vehical  (Refer van and other)</v>
      </c>
      <c r="D9" s="44">
        <f>'2.Capex Details'!F125</f>
        <v>956990</v>
      </c>
      <c r="E9" s="45">
        <v>0</v>
      </c>
      <c r="F9" s="46">
        <f t="shared" si="0"/>
        <v>0</v>
      </c>
      <c r="K9" s="39">
        <v>0</v>
      </c>
    </row>
    <row r="10" spans="1:12" ht="14.45" x14ac:dyDescent="0.35">
      <c r="B10" s="42">
        <v>6</v>
      </c>
      <c r="C10" s="43" t="str">
        <f>'2.Capex Details'!B129</f>
        <v>Preliminary Expenses</v>
      </c>
      <c r="D10" s="44">
        <f>'2.Capex Details'!D137</f>
        <v>485000</v>
      </c>
      <c r="E10" s="45">
        <v>0.6</v>
      </c>
      <c r="F10" s="46">
        <f t="shared" si="0"/>
        <v>291000</v>
      </c>
      <c r="K10" s="39">
        <v>485000</v>
      </c>
    </row>
    <row r="11" spans="1:12" ht="14.45" x14ac:dyDescent="0.35">
      <c r="B11" s="42">
        <v>7</v>
      </c>
      <c r="C11" s="43" t="s">
        <v>154</v>
      </c>
      <c r="D11" s="44">
        <f>'5.Closing Stock &amp; W Capital'!E56</f>
        <v>474852.61210474686</v>
      </c>
      <c r="E11" s="47"/>
      <c r="F11" s="47"/>
      <c r="K11" s="39">
        <v>0</v>
      </c>
    </row>
    <row r="12" spans="1:12" ht="14.45" x14ac:dyDescent="0.35">
      <c r="B12" s="426" t="s">
        <v>1</v>
      </c>
      <c r="C12" s="426"/>
      <c r="D12" s="48">
        <f>SUM(D5:D11)</f>
        <v>37446518.612104744</v>
      </c>
      <c r="E12" s="47"/>
      <c r="F12" s="48">
        <f>SUM(F5:F11)</f>
        <v>21608805.599999998</v>
      </c>
      <c r="K12" s="39">
        <v>36014743</v>
      </c>
    </row>
    <row r="13" spans="1:12" ht="14.45" x14ac:dyDescent="0.35">
      <c r="D13" s="49"/>
      <c r="L13" s="39">
        <v>48</v>
      </c>
    </row>
    <row r="14" spans="1:12" ht="25.5" customHeight="1" x14ac:dyDescent="0.35">
      <c r="A14" s="428" t="s">
        <v>391</v>
      </c>
      <c r="B14" s="428"/>
      <c r="C14" s="428"/>
      <c r="D14" s="428"/>
      <c r="E14" s="428"/>
      <c r="F14" s="428"/>
      <c r="L14" s="39">
        <v>11.64</v>
      </c>
    </row>
    <row r="15" spans="1:12" ht="14.45" x14ac:dyDescent="0.35">
      <c r="L15" s="39">
        <f>L13+L14</f>
        <v>59.64</v>
      </c>
    </row>
    <row r="16" spans="1:12" ht="14.45" x14ac:dyDescent="0.35">
      <c r="B16" s="427" t="s">
        <v>508</v>
      </c>
      <c r="C16" s="427"/>
      <c r="D16" s="427"/>
      <c r="E16" s="427"/>
      <c r="F16" s="427"/>
      <c r="L16" s="39">
        <v>19.05</v>
      </c>
    </row>
    <row r="17" spans="2:12" ht="14.45" x14ac:dyDescent="0.35">
      <c r="L17" s="39">
        <f>L15+L16</f>
        <v>78.69</v>
      </c>
    </row>
    <row r="18" spans="2:12" ht="14.45" x14ac:dyDescent="0.35">
      <c r="B18" s="50" t="s">
        <v>144</v>
      </c>
      <c r="C18" s="40" t="s">
        <v>127</v>
      </c>
      <c r="D18" s="40" t="s">
        <v>599</v>
      </c>
      <c r="E18" s="40" t="s">
        <v>156</v>
      </c>
    </row>
    <row r="19" spans="2:12" ht="29.1" x14ac:dyDescent="0.35">
      <c r="B19" s="42">
        <v>1</v>
      </c>
      <c r="C19" s="43" t="s">
        <v>315</v>
      </c>
      <c r="D19" s="51"/>
      <c r="E19" s="52">
        <f>MIN(F12,20000000)</f>
        <v>20000000</v>
      </c>
    </row>
    <row r="20" spans="2:12" ht="29.1" x14ac:dyDescent="0.35">
      <c r="B20" s="42">
        <v>2</v>
      </c>
      <c r="C20" s="43" t="s">
        <v>155</v>
      </c>
      <c r="D20" s="53">
        <v>0.35</v>
      </c>
      <c r="E20" s="52">
        <f>SUM(D5:D9)*D20</f>
        <v>12770333.1</v>
      </c>
    </row>
    <row r="21" spans="2:12" ht="14.45" x14ac:dyDescent="0.35">
      <c r="B21" s="42">
        <v>3</v>
      </c>
      <c r="C21" s="43" t="s">
        <v>134</v>
      </c>
      <c r="D21" s="52"/>
      <c r="E21" s="52">
        <f>D12-E19-E20</f>
        <v>4676185.5121047441</v>
      </c>
    </row>
    <row r="22" spans="2:12" ht="14.45" x14ac:dyDescent="0.35">
      <c r="B22" s="426" t="s">
        <v>1</v>
      </c>
      <c r="C22" s="426"/>
      <c r="D22" s="54"/>
      <c r="E22" s="54">
        <f>SUM(E19:E21)</f>
        <v>37446518.612104744</v>
      </c>
    </row>
    <row r="24" spans="2:12" ht="14.45" x14ac:dyDescent="0.35">
      <c r="B24" s="427" t="s">
        <v>392</v>
      </c>
      <c r="C24" s="427"/>
      <c r="D24" s="427"/>
      <c r="E24" s="427"/>
      <c r="F24" s="427"/>
    </row>
    <row r="26" spans="2:12" ht="14.45" x14ac:dyDescent="0.35">
      <c r="B26" s="425" t="s">
        <v>509</v>
      </c>
      <c r="C26" s="425"/>
      <c r="D26" s="425"/>
      <c r="E26" s="425"/>
      <c r="F26" s="425"/>
    </row>
    <row r="27" spans="2:12" ht="14.45" x14ac:dyDescent="0.35">
      <c r="B27" s="55" t="s">
        <v>144</v>
      </c>
      <c r="C27" s="56" t="s">
        <v>557</v>
      </c>
      <c r="D27" s="57" t="s">
        <v>558</v>
      </c>
      <c r="E27" s="58" t="s">
        <v>559</v>
      </c>
      <c r="F27" s="59" t="s">
        <v>560</v>
      </c>
    </row>
    <row r="28" spans="2:12" ht="29.1" x14ac:dyDescent="0.35">
      <c r="B28" s="60">
        <v>1</v>
      </c>
      <c r="C28" s="43" t="s">
        <v>358</v>
      </c>
      <c r="D28" s="61">
        <f>'9. Financial indiacators'!C49</f>
        <v>0.44265395452328249</v>
      </c>
      <c r="E28" s="60" t="s">
        <v>359</v>
      </c>
      <c r="F28" s="62" t="s">
        <v>561</v>
      </c>
    </row>
    <row r="29" spans="2:12" ht="45" x14ac:dyDescent="0.25">
      <c r="B29" s="60">
        <v>2</v>
      </c>
      <c r="C29" s="43" t="s">
        <v>360</v>
      </c>
      <c r="D29" s="63">
        <f>'9. Financial indiacators'!C85</f>
        <v>0.17782492802726696</v>
      </c>
      <c r="E29" s="60" t="s">
        <v>359</v>
      </c>
      <c r="F29" s="62" t="s">
        <v>737</v>
      </c>
    </row>
    <row r="30" spans="2:12" ht="60" x14ac:dyDescent="0.25">
      <c r="B30" s="60">
        <v>3</v>
      </c>
      <c r="C30" s="43" t="s">
        <v>361</v>
      </c>
      <c r="D30" s="61">
        <f>'9. Financial indiacators'!C16</f>
        <v>0.10552316666274408</v>
      </c>
      <c r="E30" s="60" t="s">
        <v>359</v>
      </c>
      <c r="F30" s="62" t="s">
        <v>738</v>
      </c>
    </row>
    <row r="31" spans="2:12" ht="90" x14ac:dyDescent="0.25">
      <c r="B31" s="60">
        <v>4</v>
      </c>
      <c r="C31" s="43" t="s">
        <v>362</v>
      </c>
      <c r="D31" s="64">
        <f>'9. Financial indiacators'!C73</f>
        <v>854593.05741494894</v>
      </c>
      <c r="E31" s="60" t="s">
        <v>365</v>
      </c>
      <c r="F31" s="62" t="s">
        <v>562</v>
      </c>
    </row>
    <row r="32" spans="2:12" ht="60" x14ac:dyDescent="0.25">
      <c r="B32" s="60">
        <v>5</v>
      </c>
      <c r="C32" s="43" t="s">
        <v>363</v>
      </c>
      <c r="D32" s="65">
        <f>'9. Financial indiacators'!D101</f>
        <v>5.3889254858417912</v>
      </c>
      <c r="E32" s="60" t="s">
        <v>359</v>
      </c>
      <c r="F32" s="62" t="s">
        <v>563</v>
      </c>
    </row>
    <row r="33" spans="2:6" ht="60" x14ac:dyDescent="0.25">
      <c r="B33" s="60">
        <v>6</v>
      </c>
      <c r="C33" s="43" t="s">
        <v>364</v>
      </c>
      <c r="D33" s="65">
        <f>'9. Financial indiacators'!C116</f>
        <v>2.4858922808336641</v>
      </c>
      <c r="E33" s="60" t="s">
        <v>359</v>
      </c>
      <c r="F33" s="62" t="s">
        <v>564</v>
      </c>
    </row>
  </sheetData>
  <mergeCells count="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9"/>
  <sheetViews>
    <sheetView workbookViewId="0">
      <selection activeCell="E122" sqref="E122"/>
    </sheetView>
  </sheetViews>
  <sheetFormatPr defaultColWidth="8.7109375" defaultRowHeight="15" x14ac:dyDescent="0.25"/>
  <cols>
    <col min="1" max="1" width="8.7109375" style="39"/>
    <col min="2" max="2" width="7.5703125" style="39" bestFit="1" customWidth="1"/>
    <col min="3" max="3" width="33.42578125" style="39" customWidth="1"/>
    <col min="4" max="4" width="9.42578125" style="39" customWidth="1"/>
    <col min="5" max="5" width="17" style="334" customWidth="1"/>
    <col min="6" max="6" width="14" style="118" bestFit="1" customWidth="1"/>
    <col min="7" max="7" width="14.85546875" style="118" bestFit="1" customWidth="1"/>
    <col min="8" max="8" width="11.5703125" style="39" bestFit="1" customWidth="1"/>
    <col min="9" max="16384" width="8.7109375" style="39"/>
  </cols>
  <sheetData>
    <row r="2" spans="1:12" ht="14.45" x14ac:dyDescent="0.35">
      <c r="A2" s="39">
        <v>2.1</v>
      </c>
      <c r="B2" s="427" t="s">
        <v>152</v>
      </c>
      <c r="C2" s="427"/>
      <c r="D2" s="427"/>
      <c r="E2" s="427"/>
      <c r="F2" s="427"/>
      <c r="G2" s="427"/>
    </row>
    <row r="4" spans="1:12" ht="14.45" x14ac:dyDescent="0.35">
      <c r="B4" s="40" t="s">
        <v>144</v>
      </c>
      <c r="C4" s="40" t="s">
        <v>127</v>
      </c>
      <c r="D4" s="40" t="s">
        <v>132</v>
      </c>
      <c r="E4" s="50" t="s">
        <v>145</v>
      </c>
      <c r="F4" s="328" t="s">
        <v>146</v>
      </c>
      <c r="G4" s="328" t="s">
        <v>156</v>
      </c>
      <c r="L4" s="39" t="s">
        <v>156</v>
      </c>
    </row>
    <row r="5" spans="1:12" ht="14.45" x14ac:dyDescent="0.35">
      <c r="B5" s="329"/>
      <c r="C5" s="329"/>
      <c r="D5" s="329"/>
      <c r="E5" s="329"/>
      <c r="F5" s="270"/>
      <c r="G5" s="330"/>
    </row>
    <row r="6" spans="1:12" ht="14.45" x14ac:dyDescent="0.35">
      <c r="B6" s="329">
        <v>1</v>
      </c>
      <c r="C6" s="329" t="s">
        <v>147</v>
      </c>
      <c r="D6" s="331" t="s">
        <v>640</v>
      </c>
      <c r="E6" s="332">
        <v>20000</v>
      </c>
      <c r="F6" s="332">
        <v>0</v>
      </c>
      <c r="G6" s="330" t="s">
        <v>707</v>
      </c>
      <c r="L6" s="39">
        <v>0</v>
      </c>
    </row>
    <row r="7" spans="1:12" ht="14.45" x14ac:dyDescent="0.35">
      <c r="B7" s="329">
        <v>2</v>
      </c>
      <c r="C7" s="329" t="s">
        <v>703</v>
      </c>
      <c r="D7" s="329" t="s">
        <v>704</v>
      </c>
      <c r="E7" s="329">
        <v>1068.1099999999999</v>
      </c>
      <c r="F7" s="270">
        <f>G7/E7</f>
        <v>18040.719588806398</v>
      </c>
      <c r="G7" s="330">
        <v>19269473</v>
      </c>
      <c r="L7" s="39">
        <v>19269540</v>
      </c>
    </row>
    <row r="8" spans="1:12" ht="29.1" x14ac:dyDescent="0.35">
      <c r="B8" s="329">
        <v>3</v>
      </c>
      <c r="C8" s="329" t="s">
        <v>742</v>
      </c>
      <c r="D8" s="331"/>
      <c r="E8" s="332"/>
      <c r="F8" s="332"/>
      <c r="G8" s="330">
        <f t="shared" ref="G8" si="0">E8*F8</f>
        <v>0</v>
      </c>
      <c r="L8" s="39">
        <v>0</v>
      </c>
    </row>
    <row r="9" spans="1:12" ht="14.45" x14ac:dyDescent="0.35">
      <c r="B9" s="432" t="s">
        <v>1</v>
      </c>
      <c r="C9" s="432"/>
      <c r="D9" s="432"/>
      <c r="E9" s="432"/>
      <c r="F9" s="432"/>
      <c r="G9" s="333">
        <f>SUM(G6:G8)</f>
        <v>19269473</v>
      </c>
      <c r="L9" s="39">
        <v>19269540</v>
      </c>
    </row>
    <row r="12" spans="1:12" ht="14.45" x14ac:dyDescent="0.35">
      <c r="B12" s="427" t="s">
        <v>387</v>
      </c>
      <c r="C12" s="427"/>
      <c r="D12" s="427"/>
      <c r="E12" s="427"/>
      <c r="F12" s="427"/>
      <c r="G12" s="427"/>
    </row>
    <row r="14" spans="1:12" ht="14.45" x14ac:dyDescent="0.35">
      <c r="A14" s="39">
        <v>2.2000000000000002</v>
      </c>
      <c r="B14" s="427" t="s">
        <v>153</v>
      </c>
      <c r="C14" s="427"/>
      <c r="D14" s="427"/>
      <c r="E14" s="427"/>
      <c r="F14" s="427"/>
      <c r="G14" s="427"/>
      <c r="H14" s="427"/>
    </row>
    <row r="15" spans="1:12" ht="14.45" x14ac:dyDescent="0.35">
      <c r="B15" s="130"/>
    </row>
    <row r="16" spans="1:12" ht="14.45" x14ac:dyDescent="0.35">
      <c r="B16" s="40" t="s">
        <v>144</v>
      </c>
      <c r="C16" s="40" t="s">
        <v>148</v>
      </c>
      <c r="D16" s="40" t="s">
        <v>159</v>
      </c>
      <c r="E16" s="50" t="s">
        <v>149</v>
      </c>
      <c r="F16" s="328" t="s">
        <v>150</v>
      </c>
      <c r="G16" s="328" t="s">
        <v>156</v>
      </c>
      <c r="H16" s="40" t="s">
        <v>151</v>
      </c>
      <c r="L16" s="39" t="s">
        <v>156</v>
      </c>
    </row>
    <row r="17" spans="2:12" ht="14.45" hidden="1" x14ac:dyDescent="0.35">
      <c r="B17" s="335"/>
      <c r="C17" s="85"/>
      <c r="D17" s="85"/>
      <c r="E17" s="336"/>
      <c r="F17" s="97"/>
      <c r="G17" s="337"/>
      <c r="H17" s="85"/>
    </row>
    <row r="18" spans="2:12" ht="14.45" hidden="1" x14ac:dyDescent="0.35">
      <c r="B18" s="273" t="s">
        <v>169</v>
      </c>
      <c r="C18" s="338" t="s">
        <v>345</v>
      </c>
      <c r="D18" s="338"/>
      <c r="E18" s="338"/>
      <c r="F18" s="339"/>
      <c r="G18" s="337">
        <f t="shared" ref="G18:G21" si="1">E18*F18</f>
        <v>0</v>
      </c>
      <c r="H18" s="86"/>
      <c r="L18" s="39">
        <v>0</v>
      </c>
    </row>
    <row r="19" spans="2:12" ht="14.45" hidden="1" x14ac:dyDescent="0.35">
      <c r="B19" s="273"/>
      <c r="C19" s="338"/>
      <c r="D19" s="338"/>
      <c r="E19" s="338"/>
      <c r="F19" s="339"/>
      <c r="G19" s="337">
        <f t="shared" si="1"/>
        <v>0</v>
      </c>
      <c r="H19" s="86"/>
      <c r="L19" s="39">
        <v>0</v>
      </c>
    </row>
    <row r="20" spans="2:12" ht="14.45" hidden="1" x14ac:dyDescent="0.35">
      <c r="B20" s="273"/>
      <c r="C20" s="338"/>
      <c r="D20" s="338"/>
      <c r="E20" s="338"/>
      <c r="F20" s="339"/>
      <c r="G20" s="337">
        <f t="shared" si="1"/>
        <v>0</v>
      </c>
      <c r="H20" s="86"/>
      <c r="L20" s="39">
        <v>0</v>
      </c>
    </row>
    <row r="21" spans="2:12" ht="14.45" hidden="1" x14ac:dyDescent="0.35">
      <c r="B21" s="273"/>
      <c r="C21" s="338"/>
      <c r="D21" s="273"/>
      <c r="E21" s="338"/>
      <c r="F21" s="339"/>
      <c r="G21" s="337">
        <f t="shared" si="1"/>
        <v>0</v>
      </c>
      <c r="H21" s="86"/>
      <c r="L21" s="39">
        <v>0</v>
      </c>
    </row>
    <row r="22" spans="2:12" ht="14.45" hidden="1" x14ac:dyDescent="0.35">
      <c r="B22" s="433" t="s">
        <v>168</v>
      </c>
      <c r="C22" s="433"/>
      <c r="D22" s="273"/>
      <c r="E22" s="338"/>
      <c r="F22" s="339"/>
      <c r="G22" s="337">
        <f>SUM(G18:G21)</f>
        <v>0</v>
      </c>
      <c r="H22" s="340">
        <f>SUM(H18:H21)</f>
        <v>0</v>
      </c>
      <c r="L22" s="39">
        <v>0</v>
      </c>
    </row>
    <row r="23" spans="2:12" ht="14.45" x14ac:dyDescent="0.35">
      <c r="B23" s="341" t="s">
        <v>169</v>
      </c>
      <c r="C23" s="342" t="s">
        <v>676</v>
      </c>
      <c r="D23" s="343"/>
      <c r="E23" s="275"/>
      <c r="F23" s="274"/>
      <c r="G23" s="274"/>
      <c r="H23" s="70"/>
    </row>
    <row r="24" spans="2:12" s="349" customFormat="1" ht="14.45" x14ac:dyDescent="0.35">
      <c r="B24" s="344"/>
      <c r="C24" s="345" t="s">
        <v>669</v>
      </c>
      <c r="D24" s="345" t="s">
        <v>677</v>
      </c>
      <c r="E24" s="345">
        <v>1</v>
      </c>
      <c r="F24" s="346">
        <v>115000</v>
      </c>
      <c r="G24" s="347">
        <f t="shared" ref="G24:G33" si="2">E24*F24</f>
        <v>115000</v>
      </c>
      <c r="H24" s="348">
        <v>1</v>
      </c>
      <c r="L24" s="349">
        <v>120750</v>
      </c>
    </row>
    <row r="25" spans="2:12" s="349" customFormat="1" ht="14.45" x14ac:dyDescent="0.35">
      <c r="B25" s="344"/>
      <c r="C25" s="345" t="s">
        <v>674</v>
      </c>
      <c r="D25" s="345" t="s">
        <v>677</v>
      </c>
      <c r="E25" s="345">
        <v>1</v>
      </c>
      <c r="F25" s="346">
        <v>320000</v>
      </c>
      <c r="G25" s="347">
        <f t="shared" si="2"/>
        <v>320000</v>
      </c>
      <c r="H25" s="348">
        <v>7</v>
      </c>
      <c r="L25" s="349">
        <v>336000</v>
      </c>
    </row>
    <row r="26" spans="2:12" s="349" customFormat="1" ht="14.45" x14ac:dyDescent="0.35">
      <c r="B26" s="344"/>
      <c r="C26" s="345" t="s">
        <v>670</v>
      </c>
      <c r="D26" s="345" t="s">
        <v>677</v>
      </c>
      <c r="E26" s="345">
        <v>1</v>
      </c>
      <c r="F26" s="346">
        <v>115000</v>
      </c>
      <c r="G26" s="347">
        <f t="shared" si="2"/>
        <v>115000</v>
      </c>
      <c r="H26" s="348">
        <v>4</v>
      </c>
      <c r="L26" s="349">
        <v>120750</v>
      </c>
    </row>
    <row r="27" spans="2:12" s="349" customFormat="1" ht="14.45" x14ac:dyDescent="0.35">
      <c r="B27" s="344"/>
      <c r="C27" s="345" t="s">
        <v>671</v>
      </c>
      <c r="D27" s="345" t="s">
        <v>678</v>
      </c>
      <c r="E27" s="345">
        <v>1</v>
      </c>
      <c r="F27" s="346">
        <v>385000</v>
      </c>
      <c r="G27" s="347">
        <f t="shared" si="2"/>
        <v>385000</v>
      </c>
      <c r="H27" s="348">
        <v>7</v>
      </c>
      <c r="L27" s="349">
        <v>404250</v>
      </c>
    </row>
    <row r="28" spans="2:12" s="349" customFormat="1" ht="14.45" x14ac:dyDescent="0.35">
      <c r="B28" s="344"/>
      <c r="C28" s="345" t="s">
        <v>675</v>
      </c>
      <c r="D28" s="345" t="s">
        <v>679</v>
      </c>
      <c r="E28" s="345">
        <v>1</v>
      </c>
      <c r="F28" s="346">
        <v>115000</v>
      </c>
      <c r="G28" s="347">
        <f t="shared" si="2"/>
        <v>115000</v>
      </c>
      <c r="H28" s="348">
        <v>1</v>
      </c>
      <c r="L28" s="349">
        <v>120750</v>
      </c>
    </row>
    <row r="29" spans="2:12" s="349" customFormat="1" ht="14.45" x14ac:dyDescent="0.35">
      <c r="B29" s="344"/>
      <c r="C29" s="345" t="s">
        <v>672</v>
      </c>
      <c r="D29" s="345" t="s">
        <v>680</v>
      </c>
      <c r="E29" s="345">
        <v>1</v>
      </c>
      <c r="F29" s="346">
        <v>275000</v>
      </c>
      <c r="G29" s="347">
        <f t="shared" si="2"/>
        <v>275000</v>
      </c>
      <c r="H29" s="348">
        <v>8</v>
      </c>
      <c r="L29" s="349">
        <v>288750</v>
      </c>
    </row>
    <row r="30" spans="2:12" s="349" customFormat="1" ht="14.45" x14ac:dyDescent="0.35">
      <c r="B30" s="344"/>
      <c r="C30" s="345" t="s">
        <v>673</v>
      </c>
      <c r="D30" s="345" t="s">
        <v>680</v>
      </c>
      <c r="E30" s="345">
        <v>1</v>
      </c>
      <c r="F30" s="346">
        <v>115000</v>
      </c>
      <c r="G30" s="347">
        <f t="shared" si="2"/>
        <v>115000</v>
      </c>
      <c r="H30" s="348">
        <v>1</v>
      </c>
      <c r="L30" s="349">
        <v>120750</v>
      </c>
    </row>
    <row r="31" spans="2:12" s="349" customFormat="1" ht="14.45" x14ac:dyDescent="0.35">
      <c r="B31" s="344"/>
      <c r="C31" s="345" t="s">
        <v>682</v>
      </c>
      <c r="D31" s="345" t="s">
        <v>681</v>
      </c>
      <c r="E31" s="345">
        <v>1</v>
      </c>
      <c r="F31" s="346">
        <v>185000</v>
      </c>
      <c r="G31" s="347">
        <f t="shared" si="2"/>
        <v>185000</v>
      </c>
      <c r="H31" s="348"/>
      <c r="L31" s="349">
        <v>194250</v>
      </c>
    </row>
    <row r="32" spans="2:12" s="349" customFormat="1" ht="14.45" x14ac:dyDescent="0.35">
      <c r="B32" s="344"/>
      <c r="C32" s="345" t="s">
        <v>641</v>
      </c>
      <c r="D32" s="345"/>
      <c r="E32" s="345">
        <v>4</v>
      </c>
      <c r="F32" s="346">
        <f>35000</f>
        <v>35000</v>
      </c>
      <c r="G32" s="347">
        <f t="shared" si="2"/>
        <v>140000</v>
      </c>
      <c r="H32" s="348"/>
      <c r="L32" s="349">
        <v>147000</v>
      </c>
    </row>
    <row r="33" spans="2:12" s="349" customFormat="1" ht="14.45" x14ac:dyDescent="0.35">
      <c r="B33" s="344"/>
      <c r="C33" s="345" t="s">
        <v>683</v>
      </c>
      <c r="D33" s="345"/>
      <c r="E33" s="350">
        <v>0.05</v>
      </c>
      <c r="F33" s="346">
        <f>SUM(G24:G32)</f>
        <v>1765000</v>
      </c>
      <c r="G33" s="347">
        <f t="shared" si="2"/>
        <v>88250</v>
      </c>
      <c r="H33" s="348"/>
    </row>
    <row r="34" spans="2:12" s="144" customFormat="1" ht="14.45" x14ac:dyDescent="0.35">
      <c r="B34" s="351"/>
      <c r="C34" s="352" t="s">
        <v>168</v>
      </c>
      <c r="D34" s="352"/>
      <c r="E34" s="353"/>
      <c r="F34" s="354"/>
      <c r="G34" s="355">
        <f>SUM(G24:G33)</f>
        <v>1853250</v>
      </c>
      <c r="H34" s="355">
        <f>SUM(H24:H33)</f>
        <v>29</v>
      </c>
    </row>
    <row r="35" spans="2:12" s="349" customFormat="1" ht="14.45" x14ac:dyDescent="0.35">
      <c r="B35" s="344"/>
      <c r="C35" s="345"/>
      <c r="D35" s="345"/>
      <c r="E35" s="350"/>
      <c r="F35" s="346"/>
      <c r="G35" s="347"/>
      <c r="H35" s="348"/>
    </row>
    <row r="36" spans="2:12" s="349" customFormat="1" ht="14.45" x14ac:dyDescent="0.35">
      <c r="B36" s="344"/>
      <c r="C36" s="345"/>
      <c r="D36" s="345"/>
      <c r="E36" s="345"/>
      <c r="F36" s="346"/>
      <c r="G36" s="347"/>
      <c r="H36" s="348"/>
    </row>
    <row r="37" spans="2:12" s="349" customFormat="1" ht="14.45" x14ac:dyDescent="0.35">
      <c r="B37" s="351" t="s">
        <v>170</v>
      </c>
      <c r="C37" s="342" t="s">
        <v>684</v>
      </c>
      <c r="D37" s="351" t="s">
        <v>647</v>
      </c>
      <c r="E37" s="342">
        <v>1</v>
      </c>
      <c r="F37" s="355">
        <f>788000*1.05</f>
        <v>827400</v>
      </c>
      <c r="G37" s="355">
        <f t="shared" ref="G37" si="3">E37*F37</f>
        <v>827400</v>
      </c>
      <c r="H37" s="356">
        <v>4</v>
      </c>
      <c r="L37" s="349">
        <v>827400</v>
      </c>
    </row>
    <row r="38" spans="2:12" ht="14.45" x14ac:dyDescent="0.35">
      <c r="B38" s="343"/>
      <c r="C38" s="275"/>
      <c r="D38" s="343"/>
      <c r="E38" s="275"/>
      <c r="F38" s="274"/>
      <c r="G38" s="274"/>
      <c r="H38" s="70"/>
    </row>
    <row r="39" spans="2:12" x14ac:dyDescent="0.25">
      <c r="B39" s="341" t="s">
        <v>171</v>
      </c>
      <c r="C39" s="272" t="s">
        <v>685</v>
      </c>
      <c r="D39" s="343"/>
      <c r="E39" s="275"/>
      <c r="F39" s="357"/>
      <c r="G39" s="274"/>
      <c r="H39" s="70"/>
      <c r="L39" s="39">
        <v>0</v>
      </c>
    </row>
    <row r="40" spans="2:12" s="349" customFormat="1" x14ac:dyDescent="0.25">
      <c r="B40" s="344"/>
      <c r="C40" s="345" t="s">
        <v>644</v>
      </c>
      <c r="D40" s="345"/>
      <c r="E40" s="358">
        <v>1</v>
      </c>
      <c r="F40" s="359">
        <v>180000</v>
      </c>
      <c r="G40" s="360">
        <f t="shared" ref="G40:G46" si="4">E40*F40</f>
        <v>180000</v>
      </c>
      <c r="H40" s="348">
        <v>44</v>
      </c>
      <c r="L40" s="349">
        <v>189000</v>
      </c>
    </row>
    <row r="41" spans="2:12" s="349" customFormat="1" x14ac:dyDescent="0.25">
      <c r="B41" s="344"/>
      <c r="C41" s="345" t="s">
        <v>642</v>
      </c>
      <c r="D41" s="345"/>
      <c r="E41" s="358">
        <v>1</v>
      </c>
      <c r="F41" s="359">
        <v>190000</v>
      </c>
      <c r="G41" s="360">
        <f t="shared" si="4"/>
        <v>190000</v>
      </c>
      <c r="H41" s="348"/>
      <c r="L41" s="349">
        <v>199500</v>
      </c>
    </row>
    <row r="42" spans="2:12" s="349" customFormat="1" x14ac:dyDescent="0.25">
      <c r="B42" s="344"/>
      <c r="C42" s="345" t="s">
        <v>643</v>
      </c>
      <c r="D42" s="345"/>
      <c r="E42" s="358">
        <v>1</v>
      </c>
      <c r="F42" s="359">
        <v>195000</v>
      </c>
      <c r="G42" s="360">
        <f t="shared" si="4"/>
        <v>195000</v>
      </c>
      <c r="H42" s="348"/>
      <c r="L42" s="349">
        <v>204750</v>
      </c>
    </row>
    <row r="43" spans="2:12" s="349" customFormat="1" x14ac:dyDescent="0.25">
      <c r="B43" s="344"/>
      <c r="C43" s="345" t="s">
        <v>644</v>
      </c>
      <c r="D43" s="345"/>
      <c r="E43" s="358">
        <v>1</v>
      </c>
      <c r="F43" s="359">
        <v>180000</v>
      </c>
      <c r="G43" s="360">
        <f t="shared" si="4"/>
        <v>180000</v>
      </c>
      <c r="H43" s="348"/>
      <c r="L43" s="349">
        <v>189000</v>
      </c>
    </row>
    <row r="44" spans="2:12" s="349" customFormat="1" x14ac:dyDescent="0.25">
      <c r="B44" s="344"/>
      <c r="C44" s="345" t="s">
        <v>645</v>
      </c>
      <c r="D44" s="345"/>
      <c r="E44" s="358">
        <v>1</v>
      </c>
      <c r="F44" s="359">
        <v>95000</v>
      </c>
      <c r="G44" s="360">
        <f t="shared" si="4"/>
        <v>95000</v>
      </c>
      <c r="H44" s="348"/>
      <c r="L44" s="349">
        <v>99750</v>
      </c>
    </row>
    <row r="45" spans="2:12" s="349" customFormat="1" x14ac:dyDescent="0.25">
      <c r="B45" s="344"/>
      <c r="C45" s="345" t="s">
        <v>646</v>
      </c>
      <c r="D45" s="345"/>
      <c r="E45" s="358">
        <v>1</v>
      </c>
      <c r="F45" s="359">
        <v>486000</v>
      </c>
      <c r="G45" s="360">
        <f t="shared" si="4"/>
        <v>486000</v>
      </c>
      <c r="H45" s="348"/>
      <c r="L45" s="349">
        <v>510300</v>
      </c>
    </row>
    <row r="46" spans="2:12" x14ac:dyDescent="0.25">
      <c r="B46" s="341"/>
      <c r="C46" s="275" t="s">
        <v>683</v>
      </c>
      <c r="D46" s="275"/>
      <c r="E46" s="361">
        <v>0.05</v>
      </c>
      <c r="F46" s="362">
        <f>SUM(G40:G45)</f>
        <v>1326000</v>
      </c>
      <c r="G46" s="274">
        <f t="shared" si="4"/>
        <v>66300</v>
      </c>
      <c r="H46" s="70"/>
      <c r="L46" s="39">
        <v>0</v>
      </c>
    </row>
    <row r="47" spans="2:12" ht="14.45" customHeight="1" x14ac:dyDescent="0.25">
      <c r="B47" s="351"/>
      <c r="C47" s="352" t="s">
        <v>168</v>
      </c>
      <c r="D47" s="275"/>
      <c r="E47" s="275"/>
      <c r="F47" s="274"/>
      <c r="G47" s="277">
        <f>SUM(G39:G46)</f>
        <v>1392300</v>
      </c>
      <c r="H47" s="363">
        <f>SUM(H39:H46)</f>
        <v>44</v>
      </c>
      <c r="L47" s="39">
        <v>1392300</v>
      </c>
    </row>
    <row r="48" spans="2:12" x14ac:dyDescent="0.25">
      <c r="B48" s="341"/>
      <c r="C48" s="341"/>
      <c r="D48" s="275"/>
      <c r="E48" s="275"/>
      <c r="F48" s="274"/>
      <c r="G48" s="274"/>
      <c r="H48" s="52"/>
    </row>
    <row r="49" spans="2:12" x14ac:dyDescent="0.25">
      <c r="B49" s="269" t="s">
        <v>172</v>
      </c>
      <c r="C49" s="364" t="s">
        <v>686</v>
      </c>
      <c r="D49" s="365"/>
      <c r="E49" s="366"/>
      <c r="F49" s="367"/>
      <c r="G49" s="367"/>
      <c r="H49" s="368"/>
      <c r="L49" s="39">
        <v>0</v>
      </c>
    </row>
    <row r="50" spans="2:12" s="349" customFormat="1" x14ac:dyDescent="0.25">
      <c r="B50" s="369"/>
      <c r="C50" s="369" t="s">
        <v>648</v>
      </c>
      <c r="D50" s="369"/>
      <c r="E50" s="370">
        <v>1</v>
      </c>
      <c r="F50" s="371">
        <v>135000</v>
      </c>
      <c r="G50" s="371">
        <f>E50*F50</f>
        <v>135000</v>
      </c>
      <c r="H50" s="372">
        <v>25</v>
      </c>
      <c r="L50" s="349">
        <v>141750</v>
      </c>
    </row>
    <row r="51" spans="2:12" s="349" customFormat="1" x14ac:dyDescent="0.25">
      <c r="B51" s="369"/>
      <c r="C51" s="369" t="s">
        <v>649</v>
      </c>
      <c r="D51" s="369"/>
      <c r="E51" s="370">
        <v>1</v>
      </c>
      <c r="F51" s="371">
        <v>146000</v>
      </c>
      <c r="G51" s="371">
        <f t="shared" ref="G51:G56" si="5">E51*F51</f>
        <v>146000</v>
      </c>
      <c r="H51" s="372"/>
      <c r="L51" s="349">
        <v>153300</v>
      </c>
    </row>
    <row r="52" spans="2:12" s="349" customFormat="1" x14ac:dyDescent="0.25">
      <c r="B52" s="369"/>
      <c r="C52" s="369" t="s">
        <v>650</v>
      </c>
      <c r="D52" s="369"/>
      <c r="E52" s="370">
        <v>1</v>
      </c>
      <c r="F52" s="371">
        <v>75000</v>
      </c>
      <c r="G52" s="371">
        <f t="shared" si="5"/>
        <v>75000</v>
      </c>
      <c r="H52" s="372"/>
      <c r="L52" s="349">
        <v>78750</v>
      </c>
    </row>
    <row r="53" spans="2:12" s="349" customFormat="1" x14ac:dyDescent="0.25">
      <c r="B53" s="369"/>
      <c r="C53" s="369" t="s">
        <v>651</v>
      </c>
      <c r="D53" s="369"/>
      <c r="E53" s="370">
        <v>1</v>
      </c>
      <c r="F53" s="371">
        <v>95000</v>
      </c>
      <c r="G53" s="371">
        <f t="shared" si="5"/>
        <v>95000</v>
      </c>
      <c r="H53" s="372"/>
      <c r="L53" s="349">
        <v>99750</v>
      </c>
    </row>
    <row r="54" spans="2:12" s="349" customFormat="1" x14ac:dyDescent="0.25">
      <c r="B54" s="369"/>
      <c r="C54" s="369" t="s">
        <v>652</v>
      </c>
      <c r="D54" s="369"/>
      <c r="E54" s="370">
        <v>1</v>
      </c>
      <c r="F54" s="371">
        <v>142000</v>
      </c>
      <c r="G54" s="371">
        <f t="shared" si="5"/>
        <v>142000</v>
      </c>
      <c r="H54" s="372"/>
      <c r="L54" s="349">
        <v>149100</v>
      </c>
    </row>
    <row r="55" spans="2:12" s="349" customFormat="1" x14ac:dyDescent="0.25">
      <c r="B55" s="369"/>
      <c r="C55" s="369" t="s">
        <v>653</v>
      </c>
      <c r="D55" s="369"/>
      <c r="E55" s="370">
        <v>2</v>
      </c>
      <c r="F55" s="371">
        <f>165000/2</f>
        <v>82500</v>
      </c>
      <c r="G55" s="371">
        <f t="shared" si="5"/>
        <v>165000</v>
      </c>
      <c r="H55" s="372"/>
      <c r="L55" s="349">
        <v>173250</v>
      </c>
    </row>
    <row r="56" spans="2:12" s="349" customFormat="1" x14ac:dyDescent="0.25">
      <c r="B56" s="369"/>
      <c r="C56" s="369" t="s">
        <v>654</v>
      </c>
      <c r="D56" s="369"/>
      <c r="E56" s="370">
        <v>1</v>
      </c>
      <c r="F56" s="371">
        <v>236000</v>
      </c>
      <c r="G56" s="371">
        <f t="shared" si="5"/>
        <v>236000</v>
      </c>
      <c r="H56" s="372"/>
      <c r="L56" s="349">
        <v>247800</v>
      </c>
    </row>
    <row r="57" spans="2:12" x14ac:dyDescent="0.25">
      <c r="B57" s="269"/>
      <c r="C57" s="373" t="s">
        <v>683</v>
      </c>
      <c r="D57" s="373"/>
      <c r="E57" s="374">
        <v>0.05</v>
      </c>
      <c r="F57" s="375">
        <f>SUM(G50:G56)</f>
        <v>994000</v>
      </c>
      <c r="G57" s="375">
        <f t="shared" ref="G57" si="6">E57*F57</f>
        <v>49700</v>
      </c>
      <c r="H57" s="368"/>
      <c r="L57" s="39">
        <v>0</v>
      </c>
    </row>
    <row r="58" spans="2:12" ht="14.45" customHeight="1" x14ac:dyDescent="0.25">
      <c r="B58" s="269"/>
      <c r="C58" s="269" t="s">
        <v>168</v>
      </c>
      <c r="D58" s="376"/>
      <c r="E58" s="329"/>
      <c r="F58" s="377"/>
      <c r="G58" s="378">
        <f>SUM(G49:G57)</f>
        <v>1043700</v>
      </c>
      <c r="H58" s="379">
        <f>SUM(H49:H57)</f>
        <v>25</v>
      </c>
      <c r="L58" s="39">
        <v>1043700</v>
      </c>
    </row>
    <row r="59" spans="2:12" x14ac:dyDescent="0.25">
      <c r="B59" s="269"/>
      <c r="C59" s="269"/>
      <c r="D59" s="376"/>
      <c r="E59" s="329"/>
      <c r="F59" s="377"/>
      <c r="G59" s="377"/>
      <c r="H59" s="368"/>
    </row>
    <row r="60" spans="2:12" s="349" customFormat="1" x14ac:dyDescent="0.25">
      <c r="B60" s="380" t="s">
        <v>655</v>
      </c>
      <c r="C60" s="369" t="s">
        <v>688</v>
      </c>
      <c r="D60" s="380"/>
      <c r="E60" s="370">
        <v>1</v>
      </c>
      <c r="F60" s="371">
        <v>285000</v>
      </c>
      <c r="G60" s="371">
        <f t="shared" ref="G60:G65" si="7">E60*F60*1.05</f>
        <v>299250</v>
      </c>
      <c r="H60" s="372"/>
      <c r="L60" s="349">
        <v>299250</v>
      </c>
    </row>
    <row r="61" spans="2:12" s="349" customFormat="1" x14ac:dyDescent="0.25">
      <c r="B61" s="380" t="s">
        <v>656</v>
      </c>
      <c r="C61" s="369" t="s">
        <v>689</v>
      </c>
      <c r="D61" s="380"/>
      <c r="E61" s="370">
        <v>1</v>
      </c>
      <c r="F61" s="371">
        <v>14000</v>
      </c>
      <c r="G61" s="371">
        <f t="shared" si="7"/>
        <v>14700</v>
      </c>
      <c r="H61" s="372"/>
      <c r="J61" s="381">
        <f>G61/100000</f>
        <v>0.14699999999999999</v>
      </c>
      <c r="L61" s="349">
        <v>14700</v>
      </c>
    </row>
    <row r="62" spans="2:12" s="349" customFormat="1" x14ac:dyDescent="0.25">
      <c r="B62" s="380" t="s">
        <v>657</v>
      </c>
      <c r="C62" s="369" t="s">
        <v>658</v>
      </c>
      <c r="D62" s="369"/>
      <c r="E62" s="370">
        <v>1</v>
      </c>
      <c r="F62" s="371">
        <v>175000</v>
      </c>
      <c r="G62" s="371">
        <f t="shared" si="7"/>
        <v>183750</v>
      </c>
      <c r="H62" s="372"/>
      <c r="J62" s="381">
        <f t="shared" ref="J62:J65" si="8">G62/100000</f>
        <v>1.8374999999999999</v>
      </c>
      <c r="L62" s="349">
        <v>183750</v>
      </c>
    </row>
    <row r="63" spans="2:12" s="349" customFormat="1" x14ac:dyDescent="0.25">
      <c r="B63" s="380" t="s">
        <v>659</v>
      </c>
      <c r="C63" s="369" t="s">
        <v>690</v>
      </c>
      <c r="D63" s="369"/>
      <c r="E63" s="370">
        <v>1</v>
      </c>
      <c r="F63" s="371">
        <v>318000</v>
      </c>
      <c r="G63" s="371">
        <f t="shared" si="7"/>
        <v>333900</v>
      </c>
      <c r="H63" s="372"/>
      <c r="J63" s="381">
        <f t="shared" si="8"/>
        <v>3.339</v>
      </c>
      <c r="L63" s="349">
        <v>333900</v>
      </c>
    </row>
    <row r="64" spans="2:12" s="349" customFormat="1" x14ac:dyDescent="0.25">
      <c r="B64" s="369">
        <v>1</v>
      </c>
      <c r="C64" s="369" t="s">
        <v>691</v>
      </c>
      <c r="D64" s="369"/>
      <c r="E64" s="370">
        <v>1</v>
      </c>
      <c r="F64" s="371">
        <v>100000</v>
      </c>
      <c r="G64" s="371">
        <f t="shared" si="7"/>
        <v>105000</v>
      </c>
      <c r="H64" s="372"/>
      <c r="J64" s="381">
        <f t="shared" si="8"/>
        <v>1.05</v>
      </c>
    </row>
    <row r="65" spans="2:12" s="349" customFormat="1" x14ac:dyDescent="0.25">
      <c r="B65" s="369">
        <v>2</v>
      </c>
      <c r="C65" s="369" t="s">
        <v>692</v>
      </c>
      <c r="D65" s="369"/>
      <c r="E65" s="370">
        <v>1</v>
      </c>
      <c r="F65" s="371">
        <v>120000</v>
      </c>
      <c r="G65" s="371">
        <f t="shared" si="7"/>
        <v>126000</v>
      </c>
      <c r="H65" s="372"/>
      <c r="J65" s="381">
        <f t="shared" si="8"/>
        <v>1.26</v>
      </c>
    </row>
    <row r="66" spans="2:12" s="349" customFormat="1" x14ac:dyDescent="0.25">
      <c r="B66" s="380"/>
      <c r="C66" s="380" t="s">
        <v>168</v>
      </c>
      <c r="D66" s="369"/>
      <c r="E66" s="370"/>
      <c r="F66" s="371"/>
      <c r="G66" s="382">
        <f>SUM(G60:G65)</f>
        <v>1062600</v>
      </c>
      <c r="H66" s="372"/>
    </row>
    <row r="67" spans="2:12" s="349" customFormat="1" x14ac:dyDescent="0.25">
      <c r="B67" s="380"/>
      <c r="C67" s="380"/>
      <c r="D67" s="369"/>
      <c r="E67" s="370"/>
      <c r="F67" s="371"/>
      <c r="G67" s="371"/>
      <c r="H67" s="372"/>
    </row>
    <row r="68" spans="2:12" s="349" customFormat="1" x14ac:dyDescent="0.25">
      <c r="B68" s="380" t="s">
        <v>660</v>
      </c>
      <c r="C68" s="380" t="s">
        <v>715</v>
      </c>
      <c r="D68" s="369"/>
      <c r="E68" s="370">
        <v>1</v>
      </c>
      <c r="F68" s="383">
        <v>3793070</v>
      </c>
      <c r="G68" s="382">
        <f t="shared" ref="G68:G81" si="9">E68*F68</f>
        <v>3793070</v>
      </c>
      <c r="H68" s="372"/>
      <c r="L68" s="349">
        <v>3793070</v>
      </c>
    </row>
    <row r="69" spans="2:12" s="349" customFormat="1" x14ac:dyDescent="0.25">
      <c r="B69" s="380"/>
      <c r="C69" s="380"/>
      <c r="D69" s="369"/>
      <c r="E69" s="370"/>
      <c r="F69" s="383"/>
      <c r="G69" s="371"/>
      <c r="H69" s="372"/>
    </row>
    <row r="70" spans="2:12" s="349" customFormat="1" x14ac:dyDescent="0.25">
      <c r="B70" s="380"/>
      <c r="C70" s="380"/>
      <c r="D70" s="369"/>
      <c r="E70" s="370"/>
      <c r="F70" s="383"/>
      <c r="G70" s="371"/>
      <c r="H70" s="372"/>
    </row>
    <row r="71" spans="2:12" s="349" customFormat="1" x14ac:dyDescent="0.25">
      <c r="B71" s="380" t="s">
        <v>661</v>
      </c>
      <c r="C71" s="380" t="s">
        <v>713</v>
      </c>
      <c r="D71" s="369"/>
      <c r="E71" s="370">
        <v>1</v>
      </c>
      <c r="F71" s="383">
        <f>618453-185000</f>
        <v>433453</v>
      </c>
      <c r="G71" s="371">
        <f t="shared" si="9"/>
        <v>433453</v>
      </c>
      <c r="H71" s="372"/>
      <c r="L71" s="349">
        <v>618453</v>
      </c>
    </row>
    <row r="72" spans="2:12" s="349" customFormat="1" x14ac:dyDescent="0.25">
      <c r="B72" s="380" t="s">
        <v>663</v>
      </c>
      <c r="C72" s="380" t="s">
        <v>714</v>
      </c>
      <c r="D72" s="369"/>
      <c r="E72" s="370">
        <v>1</v>
      </c>
      <c r="F72" s="383">
        <v>185000</v>
      </c>
      <c r="G72" s="371">
        <f t="shared" si="9"/>
        <v>185000</v>
      </c>
      <c r="H72" s="372"/>
    </row>
    <row r="73" spans="2:12" s="349" customFormat="1" x14ac:dyDescent="0.25">
      <c r="B73" s="380"/>
      <c r="C73" s="380"/>
      <c r="D73" s="369"/>
      <c r="E73" s="370"/>
      <c r="F73" s="384"/>
      <c r="G73" s="371"/>
      <c r="H73" s="372"/>
    </row>
    <row r="74" spans="2:12" s="349" customFormat="1" x14ac:dyDescent="0.25">
      <c r="B74" s="380" t="s">
        <v>665</v>
      </c>
      <c r="C74" s="380" t="s">
        <v>664</v>
      </c>
      <c r="D74" s="369"/>
      <c r="E74" s="370"/>
      <c r="F74" s="384"/>
      <c r="G74" s="371"/>
      <c r="H74" s="372"/>
      <c r="L74" s="349">
        <v>0</v>
      </c>
    </row>
    <row r="75" spans="2:12" s="349" customFormat="1" x14ac:dyDescent="0.25">
      <c r="B75" s="380"/>
      <c r="C75" s="385" t="s">
        <v>696</v>
      </c>
      <c r="D75" s="385"/>
      <c r="E75" s="370">
        <v>1</v>
      </c>
      <c r="F75" s="383">
        <v>885000</v>
      </c>
      <c r="G75" s="383">
        <f t="shared" si="9"/>
        <v>885000</v>
      </c>
      <c r="H75" s="372"/>
      <c r="J75" s="381">
        <f t="shared" ref="J75:J82" si="10">G75/100000</f>
        <v>8.85</v>
      </c>
      <c r="L75" s="349">
        <v>885000</v>
      </c>
    </row>
    <row r="76" spans="2:12" s="349" customFormat="1" x14ac:dyDescent="0.25">
      <c r="B76" s="380"/>
      <c r="C76" s="385" t="s">
        <v>697</v>
      </c>
      <c r="D76" s="385"/>
      <c r="E76" s="370">
        <v>1</v>
      </c>
      <c r="F76" s="383">
        <v>181440</v>
      </c>
      <c r="G76" s="383">
        <f t="shared" si="9"/>
        <v>181440</v>
      </c>
      <c r="H76" s="372"/>
      <c r="J76" s="381">
        <f t="shared" si="10"/>
        <v>1.8144</v>
      </c>
      <c r="L76" s="349">
        <v>181440</v>
      </c>
    </row>
    <row r="77" spans="2:12" s="349" customFormat="1" x14ac:dyDescent="0.25">
      <c r="B77" s="380"/>
      <c r="C77" s="385" t="s">
        <v>702</v>
      </c>
      <c r="D77" s="385"/>
      <c r="E77" s="370">
        <v>1</v>
      </c>
      <c r="F77" s="383">
        <v>174720</v>
      </c>
      <c r="G77" s="383">
        <f t="shared" si="9"/>
        <v>174720</v>
      </c>
      <c r="H77" s="372"/>
      <c r="J77" s="381">
        <f t="shared" si="10"/>
        <v>1.7472000000000001</v>
      </c>
      <c r="L77" s="349">
        <v>174720</v>
      </c>
    </row>
    <row r="78" spans="2:12" s="349" customFormat="1" x14ac:dyDescent="0.25">
      <c r="B78" s="380"/>
      <c r="C78" s="385" t="s">
        <v>699</v>
      </c>
      <c r="D78" s="385"/>
      <c r="E78" s="370">
        <v>1</v>
      </c>
      <c r="F78" s="383">
        <v>1232000</v>
      </c>
      <c r="G78" s="383">
        <f t="shared" si="9"/>
        <v>1232000</v>
      </c>
      <c r="H78" s="372"/>
      <c r="J78" s="381">
        <f t="shared" si="10"/>
        <v>12.32</v>
      </c>
      <c r="L78" s="349">
        <v>1232000</v>
      </c>
    </row>
    <row r="79" spans="2:12" s="349" customFormat="1" x14ac:dyDescent="0.25">
      <c r="B79" s="380"/>
      <c r="C79" s="385" t="s">
        <v>700</v>
      </c>
      <c r="D79" s="385"/>
      <c r="E79" s="370">
        <v>1</v>
      </c>
      <c r="F79" s="383">
        <v>336000</v>
      </c>
      <c r="G79" s="383">
        <f t="shared" si="9"/>
        <v>336000</v>
      </c>
      <c r="H79" s="372"/>
      <c r="J79" s="381">
        <f t="shared" si="10"/>
        <v>3.36</v>
      </c>
      <c r="L79" s="349">
        <v>336000</v>
      </c>
    </row>
    <row r="80" spans="2:12" s="349" customFormat="1" x14ac:dyDescent="0.25">
      <c r="B80" s="380"/>
      <c r="C80" s="385" t="s">
        <v>701</v>
      </c>
      <c r="D80" s="385"/>
      <c r="E80" s="370">
        <v>1</v>
      </c>
      <c r="F80" s="383">
        <v>504000</v>
      </c>
      <c r="G80" s="383">
        <f t="shared" si="9"/>
        <v>504000</v>
      </c>
      <c r="H80" s="372"/>
      <c r="J80" s="381">
        <f t="shared" si="10"/>
        <v>5.04</v>
      </c>
      <c r="L80" s="349">
        <v>504000</v>
      </c>
    </row>
    <row r="81" spans="1:12" s="349" customFormat="1" x14ac:dyDescent="0.25">
      <c r="B81" s="380"/>
      <c r="C81" s="385" t="s">
        <v>698</v>
      </c>
      <c r="D81" s="385"/>
      <c r="E81" s="370">
        <v>1</v>
      </c>
      <c r="F81" s="383">
        <v>112000</v>
      </c>
      <c r="G81" s="383">
        <f t="shared" si="9"/>
        <v>112000</v>
      </c>
      <c r="H81" s="372"/>
      <c r="J81" s="381">
        <f t="shared" si="10"/>
        <v>1.1200000000000001</v>
      </c>
      <c r="L81" s="349">
        <v>112000</v>
      </c>
    </row>
    <row r="82" spans="1:12" s="349" customFormat="1" x14ac:dyDescent="0.25">
      <c r="B82" s="380"/>
      <c r="C82" s="385" t="s">
        <v>687</v>
      </c>
      <c r="D82" s="385"/>
      <c r="E82" s="370">
        <v>1</v>
      </c>
      <c r="F82" s="383">
        <v>426000</v>
      </c>
      <c r="G82" s="383">
        <v>447300</v>
      </c>
      <c r="H82" s="372">
        <v>5</v>
      </c>
      <c r="J82" s="381">
        <f t="shared" si="10"/>
        <v>4.4729999999999999</v>
      </c>
    </row>
    <row r="83" spans="1:12" s="349" customFormat="1" x14ac:dyDescent="0.25">
      <c r="B83" s="351"/>
      <c r="C83" s="380" t="s">
        <v>168</v>
      </c>
      <c r="D83" s="386"/>
      <c r="E83" s="386"/>
      <c r="F83" s="347"/>
      <c r="G83" s="355">
        <f>SUM(G75:G82)</f>
        <v>3872460</v>
      </c>
      <c r="H83" s="387"/>
      <c r="L83" s="349">
        <v>3425160</v>
      </c>
    </row>
    <row r="84" spans="1:12" s="349" customFormat="1" x14ac:dyDescent="0.25">
      <c r="B84" s="351"/>
      <c r="C84" s="351"/>
      <c r="D84" s="386"/>
      <c r="E84" s="386"/>
      <c r="F84" s="347"/>
      <c r="G84" s="355"/>
      <c r="H84" s="387"/>
    </row>
    <row r="85" spans="1:12" x14ac:dyDescent="0.25">
      <c r="B85" s="429" t="s">
        <v>1</v>
      </c>
      <c r="C85" s="429"/>
      <c r="D85" s="429"/>
      <c r="E85" s="429"/>
      <c r="F85" s="429"/>
      <c r="G85" s="277">
        <f>G83+G71+G68+G66+G58+G47+G37+G34+G72</f>
        <v>14463233</v>
      </c>
      <c r="H85" s="277">
        <f>H83+H71+H68+H66+H58+H47+H37+H34+H72</f>
        <v>102</v>
      </c>
      <c r="L85" s="39">
        <v>14463233</v>
      </c>
    </row>
    <row r="86" spans="1:12" x14ac:dyDescent="0.25">
      <c r="B86" s="130"/>
    </row>
    <row r="87" spans="1:12" x14ac:dyDescent="0.25">
      <c r="B87" s="427" t="s">
        <v>388</v>
      </c>
      <c r="C87" s="427"/>
      <c r="D87" s="427"/>
      <c r="E87" s="427"/>
      <c r="F87" s="427"/>
      <c r="G87" s="427"/>
      <c r="H87" s="427"/>
    </row>
    <row r="88" spans="1:12" x14ac:dyDescent="0.25">
      <c r="B88" s="130"/>
      <c r="I88" s="130"/>
      <c r="J88" s="130"/>
      <c r="K88" s="388"/>
    </row>
    <row r="91" spans="1:12" x14ac:dyDescent="0.25">
      <c r="A91" s="39">
        <v>2.2999999999999998</v>
      </c>
      <c r="B91" s="427" t="s">
        <v>356</v>
      </c>
      <c r="C91" s="427"/>
      <c r="D91" s="427"/>
      <c r="E91" s="427"/>
      <c r="F91" s="427"/>
    </row>
    <row r="93" spans="1:12" ht="30" x14ac:dyDescent="0.25">
      <c r="B93" s="50" t="s">
        <v>144</v>
      </c>
      <c r="C93" s="40" t="s">
        <v>127</v>
      </c>
      <c r="D93" s="40" t="s">
        <v>149</v>
      </c>
      <c r="E93" s="50" t="s">
        <v>150</v>
      </c>
      <c r="F93" s="328" t="s">
        <v>156</v>
      </c>
    </row>
    <row r="94" spans="1:12" x14ac:dyDescent="0.25">
      <c r="B94" s="343">
        <v>1</v>
      </c>
      <c r="C94" s="275" t="s">
        <v>662</v>
      </c>
      <c r="D94" s="343"/>
      <c r="E94" s="389">
        <v>1099675</v>
      </c>
      <c r="F94" s="274">
        <v>1099575</v>
      </c>
    </row>
    <row r="95" spans="1:12" ht="14.45" hidden="1" x14ac:dyDescent="0.35">
      <c r="B95" s="343"/>
      <c r="C95" s="275"/>
      <c r="D95" s="343"/>
      <c r="E95" s="389"/>
      <c r="F95" s="274">
        <f t="shared" ref="F95:F99" si="11">D95*E95</f>
        <v>0</v>
      </c>
    </row>
    <row r="96" spans="1:12" ht="14.45" hidden="1" x14ac:dyDescent="0.35">
      <c r="B96" s="343"/>
      <c r="C96" s="275"/>
      <c r="D96" s="343"/>
      <c r="E96" s="389"/>
      <c r="F96" s="274">
        <f t="shared" si="11"/>
        <v>0</v>
      </c>
    </row>
    <row r="97" spans="1:7" ht="14.45" hidden="1" x14ac:dyDescent="0.35">
      <c r="B97" s="343"/>
      <c r="C97" s="275"/>
      <c r="D97" s="343"/>
      <c r="E97" s="389"/>
      <c r="F97" s="274">
        <f t="shared" si="11"/>
        <v>0</v>
      </c>
    </row>
    <row r="98" spans="1:7" ht="14.45" hidden="1" x14ac:dyDescent="0.35">
      <c r="B98" s="343"/>
      <c r="C98" s="275"/>
      <c r="D98" s="343"/>
      <c r="E98" s="389"/>
      <c r="F98" s="274">
        <f t="shared" si="11"/>
        <v>0</v>
      </c>
    </row>
    <row r="99" spans="1:7" ht="14.45" hidden="1" x14ac:dyDescent="0.35">
      <c r="B99" s="343"/>
      <c r="C99" s="275"/>
      <c r="D99" s="343"/>
      <c r="E99" s="389"/>
      <c r="F99" s="274">
        <f t="shared" si="11"/>
        <v>0</v>
      </c>
    </row>
    <row r="100" spans="1:7" x14ac:dyDescent="0.25">
      <c r="B100" s="426" t="s">
        <v>1</v>
      </c>
      <c r="C100" s="426"/>
      <c r="D100" s="426"/>
      <c r="E100" s="426"/>
      <c r="F100" s="390">
        <f>SUM(F94:F99)</f>
        <v>1099575</v>
      </c>
    </row>
    <row r="102" spans="1:7" x14ac:dyDescent="0.25">
      <c r="A102" s="427" t="s">
        <v>389</v>
      </c>
      <c r="B102" s="427"/>
      <c r="C102" s="427"/>
      <c r="D102" s="427"/>
      <c r="E102" s="427"/>
      <c r="F102" s="427"/>
      <c r="G102" s="427"/>
    </row>
    <row r="105" spans="1:7" x14ac:dyDescent="0.25">
      <c r="A105" s="39">
        <v>2.4</v>
      </c>
      <c r="B105" s="427" t="s">
        <v>355</v>
      </c>
      <c r="C105" s="427"/>
      <c r="D105" s="427"/>
      <c r="E105" s="427"/>
      <c r="F105" s="427"/>
    </row>
    <row r="107" spans="1:7" ht="30" x14ac:dyDescent="0.25">
      <c r="B107" s="50" t="s">
        <v>144</v>
      </c>
      <c r="C107" s="40" t="s">
        <v>127</v>
      </c>
      <c r="D107" s="40" t="s">
        <v>149</v>
      </c>
      <c r="E107" s="50" t="s">
        <v>150</v>
      </c>
      <c r="F107" s="328" t="s">
        <v>156</v>
      </c>
    </row>
    <row r="108" spans="1:7" x14ac:dyDescent="0.25">
      <c r="B108" s="343">
        <v>1</v>
      </c>
      <c r="C108" s="275" t="s">
        <v>693</v>
      </c>
      <c r="D108" s="343">
        <v>1</v>
      </c>
      <c r="E108" s="389">
        <v>279070</v>
      </c>
      <c r="F108" s="274">
        <f t="shared" ref="F108:F113" si="12">D108*E108</f>
        <v>279070</v>
      </c>
    </row>
    <row r="109" spans="1:7" x14ac:dyDescent="0.25">
      <c r="B109" s="343">
        <v>2</v>
      </c>
      <c r="C109" s="275" t="s">
        <v>694</v>
      </c>
      <c r="D109" s="343">
        <v>1</v>
      </c>
      <c r="E109" s="389">
        <v>418325</v>
      </c>
      <c r="F109" s="274">
        <f t="shared" si="12"/>
        <v>418325</v>
      </c>
    </row>
    <row r="110" spans="1:7" ht="14.45" hidden="1" x14ac:dyDescent="0.35">
      <c r="B110" s="335"/>
      <c r="C110" s="391"/>
      <c r="D110" s="335"/>
      <c r="E110" s="392"/>
      <c r="F110" s="337">
        <f t="shared" si="12"/>
        <v>0</v>
      </c>
    </row>
    <row r="111" spans="1:7" ht="14.45" hidden="1" x14ac:dyDescent="0.35">
      <c r="B111" s="335"/>
      <c r="C111" s="391"/>
      <c r="D111" s="335"/>
      <c r="E111" s="392"/>
      <c r="F111" s="337">
        <f t="shared" si="12"/>
        <v>0</v>
      </c>
    </row>
    <row r="112" spans="1:7" ht="14.45" hidden="1" x14ac:dyDescent="0.35">
      <c r="B112" s="335"/>
      <c r="C112" s="391"/>
      <c r="D112" s="335"/>
      <c r="E112" s="392"/>
      <c r="F112" s="337">
        <f t="shared" si="12"/>
        <v>0</v>
      </c>
    </row>
    <row r="113" spans="1:7" ht="14.45" hidden="1" x14ac:dyDescent="0.35">
      <c r="B113" s="335"/>
      <c r="C113" s="391"/>
      <c r="D113" s="335"/>
      <c r="E113" s="392"/>
      <c r="F113" s="337">
        <f t="shared" si="12"/>
        <v>0</v>
      </c>
    </row>
    <row r="114" spans="1:7" x14ac:dyDescent="0.25">
      <c r="B114" s="426" t="s">
        <v>1</v>
      </c>
      <c r="C114" s="426"/>
      <c r="D114" s="426"/>
      <c r="E114" s="426"/>
      <c r="F114" s="390">
        <f>SUM(F108:F113)</f>
        <v>697395</v>
      </c>
    </row>
    <row r="116" spans="1:7" x14ac:dyDescent="0.25">
      <c r="A116" s="427" t="s">
        <v>389</v>
      </c>
      <c r="B116" s="427"/>
      <c r="C116" s="427"/>
      <c r="D116" s="427"/>
      <c r="E116" s="427"/>
      <c r="F116" s="427"/>
      <c r="G116" s="427"/>
    </row>
    <row r="119" spans="1:7" x14ac:dyDescent="0.25">
      <c r="A119" s="39">
        <v>2.5</v>
      </c>
      <c r="B119" s="427" t="s">
        <v>592</v>
      </c>
      <c r="C119" s="427"/>
      <c r="D119" s="427"/>
      <c r="E119" s="427"/>
      <c r="F119" s="427"/>
    </row>
    <row r="121" spans="1:7" ht="30" x14ac:dyDescent="0.25">
      <c r="B121" s="50" t="s">
        <v>144</v>
      </c>
      <c r="C121" s="40" t="s">
        <v>127</v>
      </c>
      <c r="D121" s="40" t="s">
        <v>149</v>
      </c>
      <c r="E121" s="50" t="s">
        <v>150</v>
      </c>
      <c r="F121" s="328" t="s">
        <v>156</v>
      </c>
    </row>
    <row r="122" spans="1:7" x14ac:dyDescent="0.25">
      <c r="B122" s="343">
        <v>1</v>
      </c>
      <c r="C122" s="275" t="s">
        <v>695</v>
      </c>
      <c r="D122" s="343">
        <v>1</v>
      </c>
      <c r="E122" s="389">
        <v>956990</v>
      </c>
      <c r="F122" s="274">
        <f>E122*D122</f>
        <v>956990</v>
      </c>
    </row>
    <row r="123" spans="1:7" ht="14.45" hidden="1" x14ac:dyDescent="0.35">
      <c r="B123" s="343"/>
      <c r="C123" s="275"/>
      <c r="D123" s="343"/>
      <c r="E123" s="389"/>
      <c r="F123" s="274">
        <f>E123*D123</f>
        <v>0</v>
      </c>
    </row>
    <row r="124" spans="1:7" ht="14.45" hidden="1" x14ac:dyDescent="0.35">
      <c r="B124" s="343"/>
      <c r="C124" s="275"/>
      <c r="D124" s="343"/>
      <c r="E124" s="389"/>
      <c r="F124" s="274">
        <f>E124*D124</f>
        <v>0</v>
      </c>
    </row>
    <row r="125" spans="1:7" x14ac:dyDescent="0.25">
      <c r="B125" s="426" t="s">
        <v>1</v>
      </c>
      <c r="C125" s="426"/>
      <c r="D125" s="426"/>
      <c r="E125" s="426"/>
      <c r="F125" s="390">
        <f>SUM(F122:F124)</f>
        <v>956990</v>
      </c>
    </row>
    <row r="126" spans="1:7" x14ac:dyDescent="0.25">
      <c r="A126" s="431" t="s">
        <v>420</v>
      </c>
      <c r="B126" s="431"/>
      <c r="C126" s="431"/>
      <c r="D126" s="431"/>
      <c r="E126" s="431"/>
      <c r="F126" s="431"/>
      <c r="G126" s="431"/>
    </row>
    <row r="129" spans="1:5" x14ac:dyDescent="0.25">
      <c r="A129" s="39">
        <v>2.6</v>
      </c>
      <c r="B129" s="427" t="s">
        <v>241</v>
      </c>
      <c r="C129" s="427"/>
      <c r="D129" s="427"/>
    </row>
    <row r="131" spans="1:5" ht="30" x14ac:dyDescent="0.25">
      <c r="B131" s="50" t="s">
        <v>144</v>
      </c>
      <c r="C131" s="40" t="s">
        <v>127</v>
      </c>
      <c r="D131" s="40" t="s">
        <v>354</v>
      </c>
    </row>
    <row r="132" spans="1:5" x14ac:dyDescent="0.25">
      <c r="B132" s="393">
        <v>1</v>
      </c>
      <c r="C132" s="275" t="s">
        <v>668</v>
      </c>
      <c r="D132" s="52">
        <v>485000</v>
      </c>
    </row>
    <row r="133" spans="1:5" ht="14.45" hidden="1" x14ac:dyDescent="0.35">
      <c r="B133" s="393">
        <v>2</v>
      </c>
      <c r="C133" s="275"/>
      <c r="D133" s="52"/>
    </row>
    <row r="134" spans="1:5" ht="14.45" hidden="1" x14ac:dyDescent="0.35">
      <c r="B134" s="393">
        <v>3</v>
      </c>
      <c r="C134" s="275"/>
      <c r="D134" s="52"/>
    </row>
    <row r="135" spans="1:5" ht="14.45" hidden="1" x14ac:dyDescent="0.35">
      <c r="B135" s="393"/>
      <c r="C135" s="275"/>
      <c r="D135" s="52"/>
    </row>
    <row r="136" spans="1:5" ht="14.45" hidden="1" x14ac:dyDescent="0.35">
      <c r="B136" s="393"/>
      <c r="C136" s="275"/>
      <c r="D136" s="52"/>
    </row>
    <row r="137" spans="1:5" x14ac:dyDescent="0.25">
      <c r="B137" s="429" t="s">
        <v>1</v>
      </c>
      <c r="C137" s="429"/>
      <c r="D137" s="363">
        <f>SUM(D132:D136)</f>
        <v>485000</v>
      </c>
    </row>
    <row r="139" spans="1:5" x14ac:dyDescent="0.25">
      <c r="A139" s="430" t="s">
        <v>421</v>
      </c>
      <c r="B139" s="430"/>
      <c r="C139" s="430"/>
      <c r="D139" s="430"/>
      <c r="E139" s="430"/>
    </row>
  </sheetData>
  <mergeCells count="19">
    <mergeCell ref="B9:F9"/>
    <mergeCell ref="B2:G2"/>
    <mergeCell ref="B12:G12"/>
    <mergeCell ref="B87:H87"/>
    <mergeCell ref="B85:F85"/>
    <mergeCell ref="B14:H14"/>
    <mergeCell ref="B22:C22"/>
    <mergeCell ref="B137:C137"/>
    <mergeCell ref="A139:E139"/>
    <mergeCell ref="A116:G116"/>
    <mergeCell ref="B125:E125"/>
    <mergeCell ref="B119:F119"/>
    <mergeCell ref="A126:G126"/>
    <mergeCell ref="B129:D129"/>
    <mergeCell ref="B100:E100"/>
    <mergeCell ref="B91:F91"/>
    <mergeCell ref="A102:G102"/>
    <mergeCell ref="B114:E114"/>
    <mergeCell ref="B105:F105"/>
  </mergeCells>
  <pageMargins left="0.7" right="0.7" top="0.75" bottom="0.75" header="0.3" footer="0.3"/>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workbookViewId="0">
      <selection activeCell="A29" sqref="A29:Q29"/>
    </sheetView>
  </sheetViews>
  <sheetFormatPr defaultColWidth="8.7109375" defaultRowHeight="15" x14ac:dyDescent="0.25"/>
  <cols>
    <col min="1" max="1" width="41.28515625" style="39" customWidth="1"/>
    <col min="2" max="2" width="14.5703125" style="39" bestFit="1" customWidth="1"/>
    <col min="3" max="3" width="13.28515625" style="39" customWidth="1"/>
    <col min="4" max="4" width="13.42578125" style="39" customWidth="1"/>
    <col min="5" max="5" width="14.85546875" style="39" customWidth="1"/>
    <col min="6" max="7" width="14.7109375" style="39" bestFit="1" customWidth="1"/>
    <col min="8" max="8" width="14.85546875" style="39" bestFit="1" customWidth="1"/>
    <col min="9" max="9" width="14.85546875" style="39" customWidth="1"/>
    <col min="10" max="10" width="14.7109375" style="39" bestFit="1" customWidth="1"/>
    <col min="11" max="11" width="14.85546875" style="39" customWidth="1"/>
    <col min="12" max="17" width="12.7109375" style="39" bestFit="1" customWidth="1"/>
    <col min="18" max="16384" width="8.7109375" style="39"/>
  </cols>
  <sheetData>
    <row r="2" spans="1:11" ht="14.45" x14ac:dyDescent="0.35">
      <c r="A2" s="425" t="s">
        <v>510</v>
      </c>
      <c r="B2" s="425"/>
      <c r="C2" s="425"/>
      <c r="D2" s="425"/>
      <c r="E2" s="425"/>
      <c r="F2" s="425"/>
      <c r="G2" s="425"/>
      <c r="H2" s="425"/>
      <c r="I2" s="425"/>
      <c r="J2" s="425"/>
      <c r="K2" s="425"/>
    </row>
    <row r="3" spans="1:11" ht="14.45" x14ac:dyDescent="0.35">
      <c r="B3" s="39">
        <f>4200000/12</f>
        <v>350000</v>
      </c>
    </row>
    <row r="4" spans="1:11" ht="14.45" x14ac:dyDescent="0.35">
      <c r="E4" s="74">
        <v>1</v>
      </c>
      <c r="F4" s="75">
        <f>(E4*5%)+E4</f>
        <v>1.05</v>
      </c>
      <c r="G4" s="75">
        <f t="shared" ref="G4:K4" si="0">(F4*5%)+F4</f>
        <v>1.1025</v>
      </c>
      <c r="H4" s="75">
        <f t="shared" si="0"/>
        <v>1.1576250000000001</v>
      </c>
      <c r="I4" s="75">
        <f t="shared" si="0"/>
        <v>1.2155062500000002</v>
      </c>
      <c r="J4" s="75">
        <f t="shared" si="0"/>
        <v>1.2762815625000004</v>
      </c>
      <c r="K4" s="75">
        <f t="shared" si="0"/>
        <v>1.3400956406250004</v>
      </c>
    </row>
    <row r="6" spans="1:11" ht="14.45" x14ac:dyDescent="0.35">
      <c r="A6" s="76" t="s">
        <v>0</v>
      </c>
      <c r="B6" s="76" t="s">
        <v>132</v>
      </c>
      <c r="C6" s="76" t="s">
        <v>366</v>
      </c>
      <c r="D6" s="76" t="s">
        <v>273</v>
      </c>
      <c r="E6" s="77" t="s">
        <v>2</v>
      </c>
      <c r="F6" s="77" t="s">
        <v>3</v>
      </c>
      <c r="G6" s="77" t="s">
        <v>4</v>
      </c>
      <c r="H6" s="77" t="s">
        <v>5</v>
      </c>
      <c r="I6" s="77" t="s">
        <v>6</v>
      </c>
      <c r="J6" s="77" t="s">
        <v>166</v>
      </c>
      <c r="K6" s="77" t="s">
        <v>165</v>
      </c>
    </row>
    <row r="7" spans="1:11" ht="14.45" x14ac:dyDescent="0.35">
      <c r="A7" s="47"/>
      <c r="B7" s="47"/>
      <c r="C7" s="47"/>
      <c r="D7" s="47"/>
      <c r="E7" s="47"/>
      <c r="F7" s="47"/>
      <c r="G7" s="47"/>
      <c r="H7" s="47"/>
      <c r="I7" s="47"/>
      <c r="J7" s="47"/>
      <c r="K7" s="47"/>
    </row>
    <row r="8" spans="1:11" ht="14.45" x14ac:dyDescent="0.35">
      <c r="A8" s="47" t="s">
        <v>741</v>
      </c>
      <c r="B8" s="47" t="s">
        <v>367</v>
      </c>
      <c r="C8" s="85">
        <v>2</v>
      </c>
      <c r="D8" s="97">
        <v>25000</v>
      </c>
      <c r="E8" s="82">
        <f>$C8*$D8*12*E$4</f>
        <v>600000</v>
      </c>
      <c r="F8" s="82">
        <f t="shared" ref="F8:K8" si="1">$C8*$D8*12*F$4</f>
        <v>630000</v>
      </c>
      <c r="G8" s="82">
        <f t="shared" si="1"/>
        <v>661500</v>
      </c>
      <c r="H8" s="82">
        <f t="shared" si="1"/>
        <v>694575.00000000012</v>
      </c>
      <c r="I8" s="82">
        <f t="shared" si="1"/>
        <v>729303.75000000012</v>
      </c>
      <c r="J8" s="82">
        <f t="shared" si="1"/>
        <v>765768.93750000023</v>
      </c>
      <c r="K8" s="82">
        <f t="shared" si="1"/>
        <v>804057.38437500026</v>
      </c>
    </row>
    <row r="9" spans="1:11" ht="14.45" x14ac:dyDescent="0.35">
      <c r="A9" s="47" t="s">
        <v>666</v>
      </c>
      <c r="B9" s="47" t="s">
        <v>367</v>
      </c>
      <c r="C9" s="85">
        <v>2</v>
      </c>
      <c r="D9" s="97">
        <v>15000</v>
      </c>
      <c r="E9" s="82">
        <f>$C9*$D9*12*E$4</f>
        <v>360000</v>
      </c>
      <c r="F9" s="82">
        <f t="shared" ref="F9:K10" si="2">$C9*$D9*12*F$4</f>
        <v>378000</v>
      </c>
      <c r="G9" s="82">
        <f t="shared" si="2"/>
        <v>396900</v>
      </c>
      <c r="H9" s="82">
        <f t="shared" si="2"/>
        <v>416745.00000000006</v>
      </c>
      <c r="I9" s="82">
        <f t="shared" si="2"/>
        <v>437582.25000000006</v>
      </c>
      <c r="J9" s="82">
        <f t="shared" si="2"/>
        <v>459461.3625000001</v>
      </c>
      <c r="K9" s="82">
        <f t="shared" si="2"/>
        <v>482434.43062500015</v>
      </c>
    </row>
    <row r="10" spans="1:11" ht="14.45" x14ac:dyDescent="0.35">
      <c r="A10" s="47" t="s">
        <v>734</v>
      </c>
      <c r="B10" s="47" t="s">
        <v>367</v>
      </c>
      <c r="C10" s="85">
        <v>3</v>
      </c>
      <c r="D10" s="97">
        <v>10000</v>
      </c>
      <c r="E10" s="82">
        <f>$C10*$D10*12*E$4</f>
        <v>360000</v>
      </c>
      <c r="F10" s="82">
        <f t="shared" si="2"/>
        <v>378000</v>
      </c>
      <c r="G10" s="82">
        <f t="shared" si="2"/>
        <v>396900</v>
      </c>
      <c r="H10" s="82">
        <f t="shared" si="2"/>
        <v>416745.00000000006</v>
      </c>
      <c r="I10" s="82">
        <f t="shared" si="2"/>
        <v>437582.25000000006</v>
      </c>
      <c r="J10" s="82">
        <f t="shared" si="2"/>
        <v>459461.3625000001</v>
      </c>
      <c r="K10" s="82">
        <f t="shared" si="2"/>
        <v>482434.43062500015</v>
      </c>
    </row>
    <row r="11" spans="1:11" ht="14.45" x14ac:dyDescent="0.35">
      <c r="A11" s="47" t="s">
        <v>130</v>
      </c>
      <c r="B11" s="47" t="s">
        <v>368</v>
      </c>
      <c r="C11" s="47">
        <v>12</v>
      </c>
      <c r="D11" s="97">
        <v>2000</v>
      </c>
      <c r="E11" s="82">
        <f>$C11*$D11*E$4</f>
        <v>24000</v>
      </c>
      <c r="F11" s="82">
        <f t="shared" ref="F11:K15" si="3">$C11*$D11*F$4</f>
        <v>25200</v>
      </c>
      <c r="G11" s="82">
        <f t="shared" si="3"/>
        <v>26460</v>
      </c>
      <c r="H11" s="82">
        <f t="shared" si="3"/>
        <v>27783.000000000004</v>
      </c>
      <c r="I11" s="82">
        <f t="shared" si="3"/>
        <v>29172.150000000005</v>
      </c>
      <c r="J11" s="82">
        <f t="shared" si="3"/>
        <v>30630.757500000007</v>
      </c>
      <c r="K11" s="82">
        <f t="shared" si="3"/>
        <v>32162.295375000009</v>
      </c>
    </row>
    <row r="12" spans="1:11" ht="14.45" x14ac:dyDescent="0.35">
      <c r="A12" s="47" t="s">
        <v>10</v>
      </c>
      <c r="B12" s="47" t="s">
        <v>368</v>
      </c>
      <c r="C12" s="47">
        <v>12</v>
      </c>
      <c r="D12" s="97">
        <v>3000</v>
      </c>
      <c r="E12" s="82">
        <f t="shared" ref="E12:E15" si="4">$C12*$D12*E$4</f>
        <v>36000</v>
      </c>
      <c r="F12" s="82">
        <f t="shared" si="3"/>
        <v>37800</v>
      </c>
      <c r="G12" s="82">
        <f t="shared" si="3"/>
        <v>39690</v>
      </c>
      <c r="H12" s="82">
        <f t="shared" si="3"/>
        <v>41674.500000000007</v>
      </c>
      <c r="I12" s="82">
        <f t="shared" si="3"/>
        <v>43758.225000000006</v>
      </c>
      <c r="J12" s="82">
        <f t="shared" si="3"/>
        <v>45946.13625000001</v>
      </c>
      <c r="K12" s="82">
        <f t="shared" si="3"/>
        <v>48243.443062500017</v>
      </c>
    </row>
    <row r="13" spans="1:11" ht="14.45" x14ac:dyDescent="0.35">
      <c r="A13" s="47" t="s">
        <v>667</v>
      </c>
      <c r="B13" s="47" t="s">
        <v>368</v>
      </c>
      <c r="C13" s="47">
        <v>12</v>
      </c>
      <c r="D13" s="97">
        <v>7000</v>
      </c>
      <c r="E13" s="82">
        <f t="shared" si="4"/>
        <v>84000</v>
      </c>
      <c r="F13" s="82">
        <f t="shared" si="3"/>
        <v>88200</v>
      </c>
      <c r="G13" s="82">
        <f t="shared" si="3"/>
        <v>92610</v>
      </c>
      <c r="H13" s="82">
        <f t="shared" si="3"/>
        <v>97240.500000000015</v>
      </c>
      <c r="I13" s="82">
        <f t="shared" si="3"/>
        <v>102102.52500000002</v>
      </c>
      <c r="J13" s="82">
        <f t="shared" si="3"/>
        <v>107207.65125000002</v>
      </c>
      <c r="K13" s="82">
        <f t="shared" si="3"/>
        <v>112568.03381250004</v>
      </c>
    </row>
    <row r="14" spans="1:11" ht="14.45" x14ac:dyDescent="0.35">
      <c r="A14" s="47" t="s">
        <v>158</v>
      </c>
      <c r="B14" s="47" t="s">
        <v>368</v>
      </c>
      <c r="C14" s="47">
        <v>12</v>
      </c>
      <c r="D14" s="97">
        <v>0</v>
      </c>
      <c r="E14" s="82">
        <f t="shared" si="4"/>
        <v>0</v>
      </c>
      <c r="F14" s="82">
        <f t="shared" si="3"/>
        <v>0</v>
      </c>
      <c r="G14" s="82">
        <f t="shared" si="3"/>
        <v>0</v>
      </c>
      <c r="H14" s="82">
        <f t="shared" si="3"/>
        <v>0</v>
      </c>
      <c r="I14" s="82">
        <f t="shared" si="3"/>
        <v>0</v>
      </c>
      <c r="J14" s="82">
        <f t="shared" si="3"/>
        <v>0</v>
      </c>
      <c r="K14" s="82">
        <f t="shared" si="3"/>
        <v>0</v>
      </c>
    </row>
    <row r="15" spans="1:11" ht="14.45" x14ac:dyDescent="0.35">
      <c r="A15" s="47" t="s">
        <v>177</v>
      </c>
      <c r="B15" s="47" t="s">
        <v>368</v>
      </c>
      <c r="C15" s="47">
        <v>12</v>
      </c>
      <c r="D15" s="97">
        <v>50000</v>
      </c>
      <c r="E15" s="82">
        <f t="shared" si="4"/>
        <v>600000</v>
      </c>
      <c r="F15" s="82">
        <f t="shared" si="3"/>
        <v>630000</v>
      </c>
      <c r="G15" s="82">
        <f t="shared" si="3"/>
        <v>661500</v>
      </c>
      <c r="H15" s="82">
        <f t="shared" si="3"/>
        <v>694575.00000000012</v>
      </c>
      <c r="I15" s="82">
        <f t="shared" si="3"/>
        <v>729303.75000000012</v>
      </c>
      <c r="J15" s="82">
        <f t="shared" si="3"/>
        <v>765768.93750000023</v>
      </c>
      <c r="K15" s="82">
        <f t="shared" si="3"/>
        <v>804057.38437500026</v>
      </c>
    </row>
    <row r="16" spans="1:11" ht="14.45" x14ac:dyDescent="0.35">
      <c r="A16" s="47" t="s">
        <v>178</v>
      </c>
      <c r="B16" s="47" t="s">
        <v>736</v>
      </c>
      <c r="C16" s="47">
        <v>1</v>
      </c>
      <c r="D16" s="97">
        <v>100000</v>
      </c>
      <c r="E16" s="82">
        <f>$D16*E$4*$C16</f>
        <v>100000</v>
      </c>
      <c r="F16" s="82">
        <f t="shared" ref="F16:K22" si="5">$D16*F$4*$C16</f>
        <v>105000</v>
      </c>
      <c r="G16" s="82">
        <f t="shared" si="5"/>
        <v>110250</v>
      </c>
      <c r="H16" s="82">
        <f t="shared" si="5"/>
        <v>115762.50000000001</v>
      </c>
      <c r="I16" s="82">
        <f t="shared" si="5"/>
        <v>121550.62500000003</v>
      </c>
      <c r="J16" s="82">
        <f t="shared" si="5"/>
        <v>127628.15625000003</v>
      </c>
      <c r="K16" s="82">
        <f t="shared" si="5"/>
        <v>134009.56406250005</v>
      </c>
    </row>
    <row r="17" spans="1:17" ht="14.45" x14ac:dyDescent="0.35">
      <c r="A17" s="47" t="s">
        <v>735</v>
      </c>
      <c r="B17" s="47"/>
      <c r="C17" s="47"/>
      <c r="D17" s="148">
        <v>0.01</v>
      </c>
      <c r="E17" s="82">
        <f>$D$17*C68</f>
        <v>346669.13644999999</v>
      </c>
      <c r="F17" s="82">
        <f t="shared" ref="F17:K17" si="6">$D$17*D68</f>
        <v>328471.61289999995</v>
      </c>
      <c r="G17" s="82">
        <f t="shared" si="6"/>
        <v>310274.08934999997</v>
      </c>
      <c r="H17" s="82">
        <f t="shared" si="6"/>
        <v>292076.56579999992</v>
      </c>
      <c r="I17" s="82">
        <f t="shared" si="6"/>
        <v>273879.04224999994</v>
      </c>
      <c r="J17" s="82">
        <f t="shared" si="6"/>
        <v>255681.51869999993</v>
      </c>
      <c r="K17" s="82">
        <f t="shared" si="6"/>
        <v>237483.99514999994</v>
      </c>
    </row>
    <row r="18" spans="1:17" ht="14.45" hidden="1" x14ac:dyDescent="0.35">
      <c r="A18" s="47"/>
      <c r="B18" s="47"/>
      <c r="C18" s="47"/>
      <c r="D18" s="97"/>
      <c r="E18" s="82">
        <f t="shared" ref="E18:E22" si="7">$D18*E$4*$C18</f>
        <v>0</v>
      </c>
      <c r="F18" s="82">
        <f t="shared" si="5"/>
        <v>0</v>
      </c>
      <c r="G18" s="82">
        <f t="shared" si="5"/>
        <v>0</v>
      </c>
      <c r="H18" s="82">
        <f t="shared" si="5"/>
        <v>0</v>
      </c>
      <c r="I18" s="82">
        <f t="shared" si="5"/>
        <v>0</v>
      </c>
      <c r="J18" s="82">
        <f t="shared" si="5"/>
        <v>0</v>
      </c>
      <c r="K18" s="82">
        <f t="shared" si="5"/>
        <v>0</v>
      </c>
    </row>
    <row r="19" spans="1:17" ht="14.45" hidden="1" x14ac:dyDescent="0.35">
      <c r="A19" s="47"/>
      <c r="B19" s="47"/>
      <c r="C19" s="47"/>
      <c r="D19" s="97"/>
      <c r="E19" s="82">
        <f t="shared" si="7"/>
        <v>0</v>
      </c>
      <c r="F19" s="82">
        <f t="shared" si="5"/>
        <v>0</v>
      </c>
      <c r="G19" s="82">
        <f t="shared" si="5"/>
        <v>0</v>
      </c>
      <c r="H19" s="82">
        <f t="shared" si="5"/>
        <v>0</v>
      </c>
      <c r="I19" s="82">
        <f t="shared" si="5"/>
        <v>0</v>
      </c>
      <c r="J19" s="82">
        <f t="shared" si="5"/>
        <v>0</v>
      </c>
      <c r="K19" s="82">
        <f t="shared" si="5"/>
        <v>0</v>
      </c>
    </row>
    <row r="20" spans="1:17" ht="14.45" hidden="1" x14ac:dyDescent="0.35">
      <c r="A20" s="47"/>
      <c r="B20" s="47"/>
      <c r="C20" s="47"/>
      <c r="D20" s="97"/>
      <c r="E20" s="82">
        <f t="shared" si="7"/>
        <v>0</v>
      </c>
      <c r="F20" s="82">
        <f t="shared" si="5"/>
        <v>0</v>
      </c>
      <c r="G20" s="82">
        <f t="shared" si="5"/>
        <v>0</v>
      </c>
      <c r="H20" s="82">
        <f t="shared" si="5"/>
        <v>0</v>
      </c>
      <c r="I20" s="82">
        <f t="shared" si="5"/>
        <v>0</v>
      </c>
      <c r="J20" s="82">
        <f t="shared" si="5"/>
        <v>0</v>
      </c>
      <c r="K20" s="82">
        <f t="shared" si="5"/>
        <v>0</v>
      </c>
    </row>
    <row r="21" spans="1:17" ht="14.45" hidden="1" x14ac:dyDescent="0.35">
      <c r="A21" s="47"/>
      <c r="B21" s="47"/>
      <c r="C21" s="47"/>
      <c r="D21" s="97"/>
      <c r="E21" s="82">
        <f t="shared" si="7"/>
        <v>0</v>
      </c>
      <c r="F21" s="82">
        <f t="shared" si="5"/>
        <v>0</v>
      </c>
      <c r="G21" s="82">
        <f t="shared" si="5"/>
        <v>0</v>
      </c>
      <c r="H21" s="82">
        <f t="shared" si="5"/>
        <v>0</v>
      </c>
      <c r="I21" s="82">
        <f t="shared" si="5"/>
        <v>0</v>
      </c>
      <c r="J21" s="82">
        <f t="shared" si="5"/>
        <v>0</v>
      </c>
      <c r="K21" s="82">
        <f t="shared" si="5"/>
        <v>0</v>
      </c>
    </row>
    <row r="22" spans="1:17" ht="14.45" hidden="1" x14ac:dyDescent="0.35">
      <c r="A22" s="47"/>
      <c r="B22" s="47"/>
      <c r="C22" s="47"/>
      <c r="D22" s="82"/>
      <c r="E22" s="82">
        <f t="shared" si="7"/>
        <v>0</v>
      </c>
      <c r="F22" s="82">
        <f t="shared" si="5"/>
        <v>0</v>
      </c>
      <c r="G22" s="82">
        <f t="shared" si="5"/>
        <v>0</v>
      </c>
      <c r="H22" s="82">
        <f t="shared" si="5"/>
        <v>0</v>
      </c>
      <c r="I22" s="82">
        <f t="shared" si="5"/>
        <v>0</v>
      </c>
      <c r="J22" s="82">
        <f t="shared" si="5"/>
        <v>0</v>
      </c>
      <c r="K22" s="82">
        <f t="shared" si="5"/>
        <v>0</v>
      </c>
    </row>
    <row r="23" spans="1:17" ht="14.45" x14ac:dyDescent="0.35">
      <c r="A23" s="78" t="s">
        <v>131</v>
      </c>
      <c r="B23" s="78"/>
      <c r="C23" s="78"/>
      <c r="D23" s="84"/>
      <c r="E23" s="84">
        <f>SUM(E8:E22)</f>
        <v>2510669.1364500001</v>
      </c>
      <c r="F23" s="84">
        <f t="shared" ref="F23:K23" si="8">SUM(F8:F22)</f>
        <v>2600671.6129000001</v>
      </c>
      <c r="G23" s="84">
        <f t="shared" si="8"/>
        <v>2696084.08935</v>
      </c>
      <c r="H23" s="84">
        <f t="shared" si="8"/>
        <v>2797177.0658000004</v>
      </c>
      <c r="I23" s="84">
        <f t="shared" si="8"/>
        <v>2904234.5672500003</v>
      </c>
      <c r="J23" s="84">
        <f t="shared" si="8"/>
        <v>3017554.8199500004</v>
      </c>
      <c r="K23" s="84">
        <f t="shared" si="8"/>
        <v>3137450.9614625005</v>
      </c>
    </row>
    <row r="28" spans="1:17" ht="14.45" x14ac:dyDescent="0.35">
      <c r="A28" s="434"/>
      <c r="B28" s="434"/>
      <c r="C28" s="434"/>
      <c r="D28" s="434"/>
      <c r="E28" s="434"/>
      <c r="F28" s="434"/>
      <c r="G28" s="434"/>
      <c r="H28" s="434"/>
      <c r="I28" s="434"/>
      <c r="J28" s="434"/>
      <c r="K28" s="434"/>
      <c r="L28" s="434"/>
      <c r="M28" s="434"/>
      <c r="N28" s="434"/>
      <c r="O28" s="434"/>
    </row>
    <row r="29" spans="1:17" ht="14.45" x14ac:dyDescent="0.35">
      <c r="A29" s="434" t="s">
        <v>511</v>
      </c>
      <c r="B29" s="434"/>
      <c r="C29" s="434"/>
      <c r="D29" s="434"/>
      <c r="E29" s="434"/>
      <c r="F29" s="434"/>
      <c r="G29" s="434"/>
      <c r="H29" s="434"/>
      <c r="I29" s="434"/>
      <c r="J29" s="434"/>
      <c r="K29" s="434"/>
      <c r="L29" s="434"/>
      <c r="M29" s="434"/>
      <c r="N29" s="434"/>
      <c r="O29" s="434"/>
      <c r="P29" s="434"/>
      <c r="Q29" s="434"/>
    </row>
    <row r="30" spans="1:17" s="158" customFormat="1" ht="14.45" x14ac:dyDescent="0.35">
      <c r="A30" s="285"/>
      <c r="B30" s="285"/>
      <c r="C30" s="285"/>
      <c r="D30" s="285"/>
      <c r="E30" s="285"/>
      <c r="F30" s="285"/>
      <c r="G30" s="285"/>
      <c r="H30" s="285"/>
      <c r="I30" s="285"/>
      <c r="J30" s="285"/>
      <c r="K30" s="285"/>
      <c r="L30" s="285"/>
      <c r="M30" s="285"/>
      <c r="N30" s="285"/>
      <c r="O30" s="285"/>
    </row>
    <row r="31" spans="1:17" ht="14.45" x14ac:dyDescent="0.35">
      <c r="C31" s="436" t="s">
        <v>180</v>
      </c>
      <c r="D31" s="436"/>
      <c r="E31" s="436"/>
      <c r="F31" s="436"/>
      <c r="G31" s="436"/>
      <c r="H31" s="436"/>
      <c r="I31" s="436"/>
      <c r="K31" s="436" t="s">
        <v>181</v>
      </c>
      <c r="L31" s="436"/>
      <c r="M31" s="436"/>
      <c r="N31" s="436"/>
      <c r="O31" s="436"/>
      <c r="P31" s="436"/>
      <c r="Q31" s="436"/>
    </row>
    <row r="32" spans="1:17" x14ac:dyDescent="0.25">
      <c r="A32" s="286" t="s">
        <v>0</v>
      </c>
      <c r="B32" s="287"/>
      <c r="C32" s="208" t="s">
        <v>2</v>
      </c>
      <c r="D32" s="208" t="s">
        <v>3</v>
      </c>
      <c r="E32" s="208" t="s">
        <v>4</v>
      </c>
      <c r="F32" s="208" t="s">
        <v>5</v>
      </c>
      <c r="G32" s="208" t="s">
        <v>6</v>
      </c>
      <c r="H32" s="208" t="s">
        <v>166</v>
      </c>
      <c r="I32" s="208" t="s">
        <v>165</v>
      </c>
      <c r="J32" s="288"/>
      <c r="K32" s="208" t="s">
        <v>2</v>
      </c>
      <c r="L32" s="208" t="s">
        <v>3</v>
      </c>
      <c r="M32" s="208" t="s">
        <v>4</v>
      </c>
      <c r="N32" s="208" t="s">
        <v>5</v>
      </c>
      <c r="O32" s="208" t="s">
        <v>6</v>
      </c>
      <c r="P32" s="208" t="s">
        <v>166</v>
      </c>
      <c r="Q32" s="208" t="s">
        <v>165</v>
      </c>
    </row>
    <row r="33" spans="1:17" x14ac:dyDescent="0.25">
      <c r="A33" s="289" t="s">
        <v>182</v>
      </c>
      <c r="B33" s="70"/>
      <c r="C33" s="70"/>
      <c r="D33" s="70"/>
      <c r="E33" s="70"/>
      <c r="F33" s="70"/>
      <c r="G33" s="290"/>
      <c r="H33" s="290"/>
      <c r="I33" s="290"/>
      <c r="J33" s="70"/>
      <c r="K33" s="70"/>
      <c r="L33" s="70"/>
      <c r="M33" s="70"/>
      <c r="N33" s="70"/>
      <c r="O33" s="290"/>
      <c r="P33" s="290"/>
      <c r="Q33" s="290"/>
    </row>
    <row r="34" spans="1:17" x14ac:dyDescent="0.25">
      <c r="A34" s="289"/>
      <c r="B34" s="70"/>
      <c r="C34" s="70"/>
      <c r="D34" s="70"/>
      <c r="E34" s="70"/>
      <c r="F34" s="70"/>
      <c r="G34" s="290"/>
      <c r="H34" s="290"/>
      <c r="I34" s="290"/>
      <c r="J34" s="70"/>
      <c r="K34" s="70"/>
      <c r="L34" s="70"/>
      <c r="M34" s="70"/>
      <c r="N34" s="70"/>
      <c r="O34" s="290"/>
      <c r="P34" s="290"/>
      <c r="Q34" s="290"/>
    </row>
    <row r="35" spans="1:17" x14ac:dyDescent="0.25">
      <c r="A35" s="291"/>
      <c r="B35" s="291"/>
      <c r="C35" s="70"/>
      <c r="D35" s="70"/>
      <c r="E35" s="70"/>
      <c r="F35" s="70"/>
      <c r="G35" s="70"/>
      <c r="H35" s="70"/>
      <c r="I35" s="70"/>
      <c r="J35" s="70"/>
      <c r="K35" s="70"/>
      <c r="L35" s="70"/>
      <c r="M35" s="70"/>
      <c r="N35" s="70"/>
      <c r="O35" s="70"/>
      <c r="P35" s="70"/>
      <c r="Q35" s="70"/>
    </row>
    <row r="36" spans="1:17" x14ac:dyDescent="0.25">
      <c r="A36" s="292" t="s">
        <v>186</v>
      </c>
      <c r="B36" s="292"/>
      <c r="C36" s="70"/>
      <c r="D36" s="70"/>
      <c r="E36" s="70"/>
      <c r="F36" s="70"/>
      <c r="G36" s="70"/>
      <c r="H36" s="70"/>
      <c r="I36" s="70"/>
      <c r="J36" s="70"/>
      <c r="K36" s="70"/>
      <c r="L36" s="70"/>
      <c r="M36" s="70"/>
      <c r="N36" s="70"/>
      <c r="O36" s="70"/>
      <c r="P36" s="70"/>
      <c r="Q36" s="70"/>
    </row>
    <row r="37" spans="1:17" x14ac:dyDescent="0.25">
      <c r="A37" s="291" t="s">
        <v>183</v>
      </c>
      <c r="B37" s="291"/>
      <c r="C37" s="293">
        <f>'1.Project Cost and MOF'!D5</f>
        <v>19269473</v>
      </c>
      <c r="D37" s="293">
        <f t="shared" ref="D37:I37" si="9">C40</f>
        <v>18658630.705899999</v>
      </c>
      <c r="E37" s="293">
        <f t="shared" si="9"/>
        <v>18047788.411799997</v>
      </c>
      <c r="F37" s="293">
        <f t="shared" si="9"/>
        <v>17436946.117699996</v>
      </c>
      <c r="G37" s="293">
        <f t="shared" si="9"/>
        <v>16826103.823599994</v>
      </c>
      <c r="H37" s="293">
        <f t="shared" si="9"/>
        <v>16215261.529499995</v>
      </c>
      <c r="I37" s="293">
        <f t="shared" si="9"/>
        <v>15604419.235399995</v>
      </c>
      <c r="J37" s="70"/>
      <c r="K37" s="293">
        <f>C37</f>
        <v>19269473</v>
      </c>
      <c r="L37" s="293">
        <f t="shared" ref="L37:Q37" si="10">K40</f>
        <v>17342525.699999999</v>
      </c>
      <c r="M37" s="293">
        <f t="shared" si="10"/>
        <v>15608273.129999999</v>
      </c>
      <c r="N37" s="293">
        <f t="shared" si="10"/>
        <v>14047445.816999998</v>
      </c>
      <c r="O37" s="293">
        <f t="shared" si="10"/>
        <v>12642701.235299997</v>
      </c>
      <c r="P37" s="293">
        <f t="shared" si="10"/>
        <v>11378431.111769997</v>
      </c>
      <c r="Q37" s="293">
        <f t="shared" si="10"/>
        <v>10240588.000592997</v>
      </c>
    </row>
    <row r="38" spans="1:17" x14ac:dyDescent="0.25">
      <c r="A38" s="291" t="s">
        <v>17</v>
      </c>
      <c r="B38" s="291"/>
      <c r="C38" s="293">
        <f t="shared" ref="C38:I38" si="11">$C$37*$B$74</f>
        <v>610842.29409999994</v>
      </c>
      <c r="D38" s="293">
        <f t="shared" si="11"/>
        <v>610842.29409999994</v>
      </c>
      <c r="E38" s="293">
        <f t="shared" si="11"/>
        <v>610842.29409999994</v>
      </c>
      <c r="F38" s="293">
        <f t="shared" si="11"/>
        <v>610842.29409999994</v>
      </c>
      <c r="G38" s="293">
        <f t="shared" si="11"/>
        <v>610842.29409999994</v>
      </c>
      <c r="H38" s="293">
        <f t="shared" si="11"/>
        <v>610842.29409999994</v>
      </c>
      <c r="I38" s="293">
        <f t="shared" si="11"/>
        <v>610842.29409999994</v>
      </c>
      <c r="J38" s="70"/>
      <c r="K38" s="293">
        <f t="shared" ref="K38:Q38" si="12">K37*$C$74</f>
        <v>1926947.3</v>
      </c>
      <c r="L38" s="293">
        <f t="shared" si="12"/>
        <v>1734252.57</v>
      </c>
      <c r="M38" s="293">
        <f t="shared" si="12"/>
        <v>1560827.3130000001</v>
      </c>
      <c r="N38" s="293">
        <f t="shared" si="12"/>
        <v>1404744.5817</v>
      </c>
      <c r="O38" s="293">
        <f t="shared" si="12"/>
        <v>1264270.1235299997</v>
      </c>
      <c r="P38" s="293">
        <f t="shared" si="12"/>
        <v>1137843.1111769998</v>
      </c>
      <c r="Q38" s="293">
        <f t="shared" si="12"/>
        <v>1024058.8000592998</v>
      </c>
    </row>
    <row r="39" spans="1:17" x14ac:dyDescent="0.25">
      <c r="A39" s="291" t="s">
        <v>184</v>
      </c>
      <c r="B39" s="291"/>
      <c r="C39" s="293">
        <f>C38</f>
        <v>610842.29409999994</v>
      </c>
      <c r="D39" s="293">
        <f t="shared" ref="D39:I39" si="13">C39+D38</f>
        <v>1221684.5881999999</v>
      </c>
      <c r="E39" s="293">
        <f t="shared" si="13"/>
        <v>1832526.8822999997</v>
      </c>
      <c r="F39" s="293">
        <f t="shared" si="13"/>
        <v>2443369.1763999998</v>
      </c>
      <c r="G39" s="293">
        <f t="shared" si="13"/>
        <v>3054211.4704999998</v>
      </c>
      <c r="H39" s="293">
        <f t="shared" si="13"/>
        <v>3665053.7645999999</v>
      </c>
      <c r="I39" s="293">
        <f t="shared" si="13"/>
        <v>4275896.0586999999</v>
      </c>
      <c r="J39" s="70"/>
      <c r="K39" s="293">
        <f>K38</f>
        <v>1926947.3</v>
      </c>
      <c r="L39" s="293">
        <f t="shared" ref="L39:Q39" si="14">K39+L38</f>
        <v>3661199.87</v>
      </c>
      <c r="M39" s="293">
        <f t="shared" si="14"/>
        <v>5222027.1830000002</v>
      </c>
      <c r="N39" s="293">
        <f t="shared" si="14"/>
        <v>6626771.7647000002</v>
      </c>
      <c r="O39" s="293">
        <f t="shared" si="14"/>
        <v>7891041.8882299997</v>
      </c>
      <c r="P39" s="293">
        <f t="shared" si="14"/>
        <v>9028884.999406999</v>
      </c>
      <c r="Q39" s="293">
        <f t="shared" si="14"/>
        <v>10052943.799466299</v>
      </c>
    </row>
    <row r="40" spans="1:17" x14ac:dyDescent="0.25">
      <c r="A40" s="291" t="s">
        <v>185</v>
      </c>
      <c r="B40" s="291"/>
      <c r="C40" s="293">
        <f t="shared" ref="C40:I40" si="15">C37-C38</f>
        <v>18658630.705899999</v>
      </c>
      <c r="D40" s="293">
        <f t="shared" si="15"/>
        <v>18047788.411799997</v>
      </c>
      <c r="E40" s="293">
        <f t="shared" si="15"/>
        <v>17436946.117699996</v>
      </c>
      <c r="F40" s="293">
        <f t="shared" si="15"/>
        <v>16826103.823599994</v>
      </c>
      <c r="G40" s="293">
        <f t="shared" si="15"/>
        <v>16215261.529499995</v>
      </c>
      <c r="H40" s="293">
        <f t="shared" si="15"/>
        <v>15604419.235399995</v>
      </c>
      <c r="I40" s="293">
        <f t="shared" si="15"/>
        <v>14993576.941299995</v>
      </c>
      <c r="J40" s="70"/>
      <c r="K40" s="293">
        <f t="shared" ref="K40:Q40" si="16">K37-K38</f>
        <v>17342525.699999999</v>
      </c>
      <c r="L40" s="293">
        <f t="shared" si="16"/>
        <v>15608273.129999999</v>
      </c>
      <c r="M40" s="293">
        <f t="shared" si="16"/>
        <v>14047445.816999998</v>
      </c>
      <c r="N40" s="293">
        <f t="shared" si="16"/>
        <v>12642701.235299997</v>
      </c>
      <c r="O40" s="293">
        <f t="shared" si="16"/>
        <v>11378431.111769997</v>
      </c>
      <c r="P40" s="293">
        <f t="shared" si="16"/>
        <v>10240588.000592997</v>
      </c>
      <c r="Q40" s="293">
        <f t="shared" si="16"/>
        <v>9216529.2005336974</v>
      </c>
    </row>
    <row r="41" spans="1:17" x14ac:dyDescent="0.25">
      <c r="A41" s="291"/>
      <c r="B41" s="291"/>
      <c r="C41" s="293"/>
      <c r="D41" s="293"/>
      <c r="E41" s="293"/>
      <c r="F41" s="293"/>
      <c r="G41" s="293"/>
      <c r="H41" s="293"/>
      <c r="I41" s="293"/>
      <c r="J41" s="70"/>
      <c r="K41" s="293"/>
      <c r="L41" s="293"/>
      <c r="M41" s="293"/>
      <c r="N41" s="293"/>
      <c r="O41" s="293"/>
      <c r="P41" s="293"/>
      <c r="Q41" s="293"/>
    </row>
    <row r="42" spans="1:17" x14ac:dyDescent="0.25">
      <c r="A42" s="292" t="s">
        <v>187</v>
      </c>
      <c r="B42" s="292"/>
      <c r="C42" s="293"/>
      <c r="D42" s="293"/>
      <c r="E42" s="293"/>
      <c r="F42" s="293"/>
      <c r="G42" s="293"/>
      <c r="H42" s="293"/>
      <c r="I42" s="293"/>
      <c r="J42" s="70"/>
      <c r="K42" s="293"/>
      <c r="L42" s="293"/>
      <c r="M42" s="293"/>
      <c r="N42" s="293"/>
      <c r="O42" s="293"/>
      <c r="P42" s="293"/>
      <c r="Q42" s="293"/>
    </row>
    <row r="43" spans="1:17" x14ac:dyDescent="0.25">
      <c r="A43" s="291" t="s">
        <v>183</v>
      </c>
      <c r="B43" s="291"/>
      <c r="C43" s="293">
        <f>'1.Project Cost and MOF'!D6</f>
        <v>14463233</v>
      </c>
      <c r="D43" s="293">
        <f t="shared" ref="D43:I43" si="17">C46</f>
        <v>13547710.3511</v>
      </c>
      <c r="E43" s="293">
        <f t="shared" si="17"/>
        <v>12632187.702199999</v>
      </c>
      <c r="F43" s="293">
        <f t="shared" si="17"/>
        <v>11716665.053299999</v>
      </c>
      <c r="G43" s="293">
        <f t="shared" si="17"/>
        <v>10801142.404399998</v>
      </c>
      <c r="H43" s="293">
        <f t="shared" si="17"/>
        <v>9885619.7554999981</v>
      </c>
      <c r="I43" s="293">
        <f t="shared" si="17"/>
        <v>8970097.1065999977</v>
      </c>
      <c r="J43" s="70"/>
      <c r="K43" s="293">
        <f>C43</f>
        <v>14463233</v>
      </c>
      <c r="L43" s="293">
        <f t="shared" ref="L43:Q43" si="18">K46</f>
        <v>12293748.050000001</v>
      </c>
      <c r="M43" s="293">
        <f t="shared" si="18"/>
        <v>10449685.842500001</v>
      </c>
      <c r="N43" s="293">
        <f t="shared" si="18"/>
        <v>8882232.9661250003</v>
      </c>
      <c r="O43" s="293">
        <f t="shared" si="18"/>
        <v>7549898.0212062504</v>
      </c>
      <c r="P43" s="293">
        <f t="shared" si="18"/>
        <v>6417413.3180253133</v>
      </c>
      <c r="Q43" s="293">
        <f t="shared" si="18"/>
        <v>5454801.3203215161</v>
      </c>
    </row>
    <row r="44" spans="1:17" x14ac:dyDescent="0.25">
      <c r="A44" s="291" t="s">
        <v>17</v>
      </c>
      <c r="B44" s="291"/>
      <c r="C44" s="293">
        <f t="shared" ref="C44:I44" si="19">$C$43*$B$78</f>
        <v>915522.64889999991</v>
      </c>
      <c r="D44" s="293">
        <f t="shared" si="19"/>
        <v>915522.64889999991</v>
      </c>
      <c r="E44" s="293">
        <f t="shared" si="19"/>
        <v>915522.64889999991</v>
      </c>
      <c r="F44" s="293">
        <f t="shared" si="19"/>
        <v>915522.64889999991</v>
      </c>
      <c r="G44" s="293">
        <f t="shared" si="19"/>
        <v>915522.64889999991</v>
      </c>
      <c r="H44" s="293">
        <f t="shared" si="19"/>
        <v>915522.64889999991</v>
      </c>
      <c r="I44" s="293">
        <f t="shared" si="19"/>
        <v>915522.64889999991</v>
      </c>
      <c r="J44" s="70"/>
      <c r="K44" s="293">
        <f t="shared" ref="K44:Q44" si="20">K43*$C$78</f>
        <v>2169484.9499999997</v>
      </c>
      <c r="L44" s="293">
        <f t="shared" si="20"/>
        <v>1844062.2075</v>
      </c>
      <c r="M44" s="293">
        <f t="shared" si="20"/>
        <v>1567452.8763750002</v>
      </c>
      <c r="N44" s="293">
        <f t="shared" si="20"/>
        <v>1332334.9449187501</v>
      </c>
      <c r="O44" s="293">
        <f t="shared" si="20"/>
        <v>1132484.7031809376</v>
      </c>
      <c r="P44" s="293">
        <f t="shared" si="20"/>
        <v>962611.99770379695</v>
      </c>
      <c r="Q44" s="293">
        <f t="shared" si="20"/>
        <v>818220.19804822735</v>
      </c>
    </row>
    <row r="45" spans="1:17" x14ac:dyDescent="0.25">
      <c r="A45" s="291" t="s">
        <v>184</v>
      </c>
      <c r="B45" s="291"/>
      <c r="C45" s="293">
        <f>C44</f>
        <v>915522.64889999991</v>
      </c>
      <c r="D45" s="293">
        <f t="shared" ref="D45:I45" si="21">C45+D44</f>
        <v>1831045.2977999998</v>
      </c>
      <c r="E45" s="293">
        <f t="shared" si="21"/>
        <v>2746567.9466999997</v>
      </c>
      <c r="F45" s="293">
        <f t="shared" si="21"/>
        <v>3662090.5955999997</v>
      </c>
      <c r="G45" s="293">
        <f t="shared" si="21"/>
        <v>4577613.2445</v>
      </c>
      <c r="H45" s="293">
        <f t="shared" si="21"/>
        <v>5493135.8934000004</v>
      </c>
      <c r="I45" s="293">
        <f t="shared" si="21"/>
        <v>6408658.5423000008</v>
      </c>
      <c r="J45" s="70"/>
      <c r="K45" s="293">
        <f>K44</f>
        <v>2169484.9499999997</v>
      </c>
      <c r="L45" s="293">
        <f t="shared" ref="L45:Q45" si="22">K45+L44</f>
        <v>4013547.1574999997</v>
      </c>
      <c r="M45" s="293">
        <f t="shared" si="22"/>
        <v>5581000.0338749997</v>
      </c>
      <c r="N45" s="293">
        <f t="shared" si="22"/>
        <v>6913334.9787937496</v>
      </c>
      <c r="O45" s="293">
        <f t="shared" si="22"/>
        <v>8045819.6819746867</v>
      </c>
      <c r="P45" s="293">
        <f t="shared" si="22"/>
        <v>9008431.6796784829</v>
      </c>
      <c r="Q45" s="293">
        <f t="shared" si="22"/>
        <v>9826651.8777267095</v>
      </c>
    </row>
    <row r="46" spans="1:17" x14ac:dyDescent="0.25">
      <c r="A46" s="291" t="s">
        <v>185</v>
      </c>
      <c r="B46" s="291"/>
      <c r="C46" s="293">
        <f t="shared" ref="C46:I46" si="23">C43-C44</f>
        <v>13547710.3511</v>
      </c>
      <c r="D46" s="293">
        <f t="shared" si="23"/>
        <v>12632187.702199999</v>
      </c>
      <c r="E46" s="293">
        <f t="shared" si="23"/>
        <v>11716665.053299999</v>
      </c>
      <c r="F46" s="293">
        <f t="shared" si="23"/>
        <v>10801142.404399998</v>
      </c>
      <c r="G46" s="293">
        <f t="shared" si="23"/>
        <v>9885619.7554999981</v>
      </c>
      <c r="H46" s="293">
        <f t="shared" si="23"/>
        <v>8970097.1065999977</v>
      </c>
      <c r="I46" s="293">
        <f t="shared" si="23"/>
        <v>8054574.4576999974</v>
      </c>
      <c r="J46" s="70"/>
      <c r="K46" s="293">
        <f t="shared" ref="K46:Q46" si="24">K43-K44</f>
        <v>12293748.050000001</v>
      </c>
      <c r="L46" s="293">
        <f t="shared" si="24"/>
        <v>10449685.842500001</v>
      </c>
      <c r="M46" s="293">
        <f t="shared" si="24"/>
        <v>8882232.9661250003</v>
      </c>
      <c r="N46" s="293">
        <f t="shared" si="24"/>
        <v>7549898.0212062504</v>
      </c>
      <c r="O46" s="293">
        <f t="shared" si="24"/>
        <v>6417413.3180253133</v>
      </c>
      <c r="P46" s="293">
        <f t="shared" si="24"/>
        <v>5454801.3203215161</v>
      </c>
      <c r="Q46" s="293">
        <f t="shared" si="24"/>
        <v>4636581.1222732887</v>
      </c>
    </row>
    <row r="47" spans="1:17" x14ac:dyDescent="0.25">
      <c r="A47" s="291"/>
      <c r="B47" s="291"/>
      <c r="C47" s="293"/>
      <c r="D47" s="293"/>
      <c r="E47" s="293"/>
      <c r="F47" s="293"/>
      <c r="G47" s="293"/>
      <c r="H47" s="293"/>
      <c r="I47" s="293"/>
      <c r="J47" s="70"/>
      <c r="K47" s="293"/>
      <c r="L47" s="293"/>
      <c r="M47" s="293"/>
      <c r="N47" s="293"/>
      <c r="O47" s="293"/>
      <c r="P47" s="293"/>
      <c r="Q47" s="293"/>
    </row>
    <row r="48" spans="1:17" x14ac:dyDescent="0.25">
      <c r="A48" s="292" t="s">
        <v>188</v>
      </c>
      <c r="B48" s="292"/>
      <c r="C48" s="293"/>
      <c r="D48" s="293"/>
      <c r="E48" s="293"/>
      <c r="F48" s="293"/>
      <c r="G48" s="293"/>
      <c r="H48" s="293"/>
      <c r="I48" s="293"/>
      <c r="J48" s="70"/>
      <c r="K48" s="293"/>
      <c r="L48" s="293"/>
      <c r="M48" s="293"/>
      <c r="N48" s="293"/>
      <c r="O48" s="293"/>
      <c r="P48" s="293"/>
      <c r="Q48" s="293"/>
    </row>
    <row r="49" spans="1:17" x14ac:dyDescent="0.25">
      <c r="A49" s="291" t="s">
        <v>183</v>
      </c>
      <c r="B49" s="291"/>
      <c r="C49" s="293">
        <f>'1.Project Cost and MOF'!D7</f>
        <v>1099575</v>
      </c>
      <c r="D49" s="293">
        <f t="shared" ref="D49:I49" si="25">C52</f>
        <v>989617.5</v>
      </c>
      <c r="E49" s="293">
        <f t="shared" si="25"/>
        <v>879660</v>
      </c>
      <c r="F49" s="293">
        <f t="shared" si="25"/>
        <v>769702.5</v>
      </c>
      <c r="G49" s="293">
        <f t="shared" si="25"/>
        <v>659745</v>
      </c>
      <c r="H49" s="293">
        <f t="shared" si="25"/>
        <v>549787.5</v>
      </c>
      <c r="I49" s="293">
        <f t="shared" si="25"/>
        <v>439830</v>
      </c>
      <c r="J49" s="70"/>
      <c r="K49" s="293">
        <f>C49</f>
        <v>1099575</v>
      </c>
      <c r="L49" s="293">
        <f t="shared" ref="L49:Q49" si="26">K52</f>
        <v>989617.5</v>
      </c>
      <c r="M49" s="293">
        <f t="shared" si="26"/>
        <v>890655.75</v>
      </c>
      <c r="N49" s="293">
        <f t="shared" si="26"/>
        <v>801590.17500000005</v>
      </c>
      <c r="O49" s="293">
        <f t="shared" si="26"/>
        <v>721431.15749999997</v>
      </c>
      <c r="P49" s="293">
        <f t="shared" si="26"/>
        <v>649288.04174999997</v>
      </c>
      <c r="Q49" s="293">
        <f t="shared" si="26"/>
        <v>584359.23757499992</v>
      </c>
    </row>
    <row r="50" spans="1:17" x14ac:dyDescent="0.25">
      <c r="A50" s="291" t="s">
        <v>17</v>
      </c>
      <c r="B50" s="291"/>
      <c r="C50" s="293">
        <f t="shared" ref="C50:I50" si="27">$C$49*$B$75</f>
        <v>109957.5</v>
      </c>
      <c r="D50" s="293">
        <f t="shared" si="27"/>
        <v>109957.5</v>
      </c>
      <c r="E50" s="293">
        <f t="shared" si="27"/>
        <v>109957.5</v>
      </c>
      <c r="F50" s="293">
        <f t="shared" si="27"/>
        <v>109957.5</v>
      </c>
      <c r="G50" s="293">
        <f t="shared" si="27"/>
        <v>109957.5</v>
      </c>
      <c r="H50" s="293">
        <f t="shared" si="27"/>
        <v>109957.5</v>
      </c>
      <c r="I50" s="293">
        <f t="shared" si="27"/>
        <v>109957.5</v>
      </c>
      <c r="J50" s="70"/>
      <c r="K50" s="293">
        <f t="shared" ref="K50:Q50" si="28">K49*$C$75</f>
        <v>109957.5</v>
      </c>
      <c r="L50" s="293">
        <f t="shared" si="28"/>
        <v>98961.75</v>
      </c>
      <c r="M50" s="293">
        <f t="shared" si="28"/>
        <v>89065.575000000012</v>
      </c>
      <c r="N50" s="293">
        <f t="shared" si="28"/>
        <v>80159.017500000016</v>
      </c>
      <c r="O50" s="293">
        <f t="shared" si="28"/>
        <v>72143.115749999997</v>
      </c>
      <c r="P50" s="293">
        <f t="shared" si="28"/>
        <v>64928.804174999997</v>
      </c>
      <c r="Q50" s="293">
        <f t="shared" si="28"/>
        <v>58435.923757499993</v>
      </c>
    </row>
    <row r="51" spans="1:17" x14ac:dyDescent="0.25">
      <c r="A51" s="291" t="s">
        <v>184</v>
      </c>
      <c r="B51" s="291"/>
      <c r="C51" s="293">
        <f>C50</f>
        <v>109957.5</v>
      </c>
      <c r="D51" s="293">
        <f t="shared" ref="D51:I51" si="29">C51+D50</f>
        <v>219915</v>
      </c>
      <c r="E51" s="293">
        <f t="shared" si="29"/>
        <v>329872.5</v>
      </c>
      <c r="F51" s="293">
        <f t="shared" si="29"/>
        <v>439830</v>
      </c>
      <c r="G51" s="293">
        <f t="shared" si="29"/>
        <v>549787.5</v>
      </c>
      <c r="H51" s="293">
        <f t="shared" si="29"/>
        <v>659745</v>
      </c>
      <c r="I51" s="293">
        <f t="shared" si="29"/>
        <v>769702.5</v>
      </c>
      <c r="J51" s="70"/>
      <c r="K51" s="293">
        <f>K50</f>
        <v>109957.5</v>
      </c>
      <c r="L51" s="293">
        <f t="shared" ref="L51:Q51" si="30">K51+L50</f>
        <v>208919.25</v>
      </c>
      <c r="M51" s="293">
        <f t="shared" si="30"/>
        <v>297984.82500000001</v>
      </c>
      <c r="N51" s="293">
        <f t="shared" si="30"/>
        <v>378143.84250000003</v>
      </c>
      <c r="O51" s="293">
        <f t="shared" si="30"/>
        <v>450286.95825000003</v>
      </c>
      <c r="P51" s="293">
        <f t="shared" si="30"/>
        <v>515215.76242500002</v>
      </c>
      <c r="Q51" s="293">
        <f t="shared" si="30"/>
        <v>573651.68618249998</v>
      </c>
    </row>
    <row r="52" spans="1:17" x14ac:dyDescent="0.25">
      <c r="A52" s="291" t="s">
        <v>185</v>
      </c>
      <c r="B52" s="291"/>
      <c r="C52" s="293">
        <f t="shared" ref="C52:I52" si="31">C49-C50</f>
        <v>989617.5</v>
      </c>
      <c r="D52" s="293">
        <f t="shared" si="31"/>
        <v>879660</v>
      </c>
      <c r="E52" s="293">
        <f t="shared" si="31"/>
        <v>769702.5</v>
      </c>
      <c r="F52" s="293">
        <f t="shared" si="31"/>
        <v>659745</v>
      </c>
      <c r="G52" s="293">
        <f t="shared" si="31"/>
        <v>549787.5</v>
      </c>
      <c r="H52" s="293">
        <f t="shared" si="31"/>
        <v>439830</v>
      </c>
      <c r="I52" s="293">
        <f t="shared" si="31"/>
        <v>329872.5</v>
      </c>
      <c r="J52" s="70"/>
      <c r="K52" s="293">
        <f t="shared" ref="K52:Q52" si="32">K49-K50</f>
        <v>989617.5</v>
      </c>
      <c r="L52" s="293">
        <f t="shared" si="32"/>
        <v>890655.75</v>
      </c>
      <c r="M52" s="293">
        <f t="shared" si="32"/>
        <v>801590.17500000005</v>
      </c>
      <c r="N52" s="293">
        <f t="shared" si="32"/>
        <v>721431.15749999997</v>
      </c>
      <c r="O52" s="293">
        <f t="shared" si="32"/>
        <v>649288.04174999997</v>
      </c>
      <c r="P52" s="293">
        <f t="shared" si="32"/>
        <v>584359.23757499992</v>
      </c>
      <c r="Q52" s="293">
        <f t="shared" si="32"/>
        <v>525923.3138174999</v>
      </c>
    </row>
    <row r="53" spans="1:17" x14ac:dyDescent="0.25">
      <c r="A53" s="291"/>
      <c r="B53" s="291"/>
      <c r="C53" s="293"/>
      <c r="D53" s="293"/>
      <c r="E53" s="293"/>
      <c r="F53" s="293"/>
      <c r="G53" s="293"/>
      <c r="H53" s="293"/>
      <c r="I53" s="293"/>
      <c r="J53" s="70"/>
      <c r="K53" s="293"/>
      <c r="L53" s="293"/>
      <c r="M53" s="293"/>
      <c r="N53" s="293"/>
      <c r="O53" s="293"/>
      <c r="P53" s="293"/>
      <c r="Q53" s="293"/>
    </row>
    <row r="54" spans="1:17" x14ac:dyDescent="0.25">
      <c r="A54" s="292" t="s">
        <v>157</v>
      </c>
      <c r="B54" s="292"/>
      <c r="C54" s="293"/>
      <c r="D54" s="293"/>
      <c r="E54" s="293"/>
      <c r="F54" s="293"/>
      <c r="G54" s="293"/>
      <c r="H54" s="293"/>
      <c r="I54" s="293"/>
      <c r="J54" s="70"/>
      <c r="K54" s="293"/>
      <c r="L54" s="293"/>
      <c r="M54" s="293"/>
      <c r="N54" s="293"/>
      <c r="O54" s="293"/>
      <c r="P54" s="293"/>
      <c r="Q54" s="293"/>
    </row>
    <row r="55" spans="1:17" x14ac:dyDescent="0.25">
      <c r="A55" s="291" t="s">
        <v>183</v>
      </c>
      <c r="B55" s="291"/>
      <c r="C55" s="293">
        <f>'1.Project Cost and MOF'!D9</f>
        <v>956990</v>
      </c>
      <c r="D55" s="293">
        <f t="shared" ref="D55:I55" si="33">C58</f>
        <v>843299.58799999999</v>
      </c>
      <c r="E55" s="293">
        <f t="shared" si="33"/>
        <v>729609.17599999998</v>
      </c>
      <c r="F55" s="293">
        <f t="shared" si="33"/>
        <v>615918.76399999997</v>
      </c>
      <c r="G55" s="293">
        <f t="shared" si="33"/>
        <v>502228.35199999996</v>
      </c>
      <c r="H55" s="293">
        <f t="shared" si="33"/>
        <v>388537.93999999994</v>
      </c>
      <c r="I55" s="293">
        <f t="shared" si="33"/>
        <v>274847.52799999993</v>
      </c>
      <c r="J55" s="70"/>
      <c r="K55" s="293">
        <f>C55</f>
        <v>956990</v>
      </c>
      <c r="L55" s="293">
        <f t="shared" ref="L55:Q55" si="34">K58</f>
        <v>813441.5</v>
      </c>
      <c r="M55" s="293">
        <f t="shared" si="34"/>
        <v>691425.27500000002</v>
      </c>
      <c r="N55" s="293">
        <f t="shared" si="34"/>
        <v>587711.48375000001</v>
      </c>
      <c r="O55" s="293">
        <f t="shared" si="34"/>
        <v>499554.76118750003</v>
      </c>
      <c r="P55" s="293">
        <f t="shared" si="34"/>
        <v>424621.54700937506</v>
      </c>
      <c r="Q55" s="293">
        <f t="shared" si="34"/>
        <v>360928.31495796877</v>
      </c>
    </row>
    <row r="56" spans="1:17" x14ac:dyDescent="0.25">
      <c r="A56" s="291" t="s">
        <v>17</v>
      </c>
      <c r="B56" s="291"/>
      <c r="C56" s="293">
        <f t="shared" ref="C56:I56" si="35">$C$55*$B$77</f>
        <v>113690.412</v>
      </c>
      <c r="D56" s="293">
        <f t="shared" si="35"/>
        <v>113690.412</v>
      </c>
      <c r="E56" s="293">
        <f t="shared" si="35"/>
        <v>113690.412</v>
      </c>
      <c r="F56" s="293">
        <f t="shared" si="35"/>
        <v>113690.412</v>
      </c>
      <c r="G56" s="293">
        <f t="shared" si="35"/>
        <v>113690.412</v>
      </c>
      <c r="H56" s="293">
        <f t="shared" si="35"/>
        <v>113690.412</v>
      </c>
      <c r="I56" s="293">
        <f t="shared" si="35"/>
        <v>113690.412</v>
      </c>
      <c r="J56" s="70"/>
      <c r="K56" s="293">
        <f t="shared" ref="K56:Q56" si="36">K55*$C$77</f>
        <v>143548.5</v>
      </c>
      <c r="L56" s="293">
        <f t="shared" si="36"/>
        <v>122016.22499999999</v>
      </c>
      <c r="M56" s="293">
        <f t="shared" si="36"/>
        <v>103713.79124999999</v>
      </c>
      <c r="N56" s="293">
        <f t="shared" si="36"/>
        <v>88156.722562499999</v>
      </c>
      <c r="O56" s="293">
        <f t="shared" si="36"/>
        <v>74933.214178124996</v>
      </c>
      <c r="P56" s="293">
        <f t="shared" si="36"/>
        <v>63693.232051406259</v>
      </c>
      <c r="Q56" s="293">
        <f t="shared" si="36"/>
        <v>54139.247243695318</v>
      </c>
    </row>
    <row r="57" spans="1:17" x14ac:dyDescent="0.25">
      <c r="A57" s="291" t="s">
        <v>184</v>
      </c>
      <c r="B57" s="291"/>
      <c r="C57" s="293">
        <f>C56</f>
        <v>113690.412</v>
      </c>
      <c r="D57" s="293">
        <f t="shared" ref="D57:I57" si="37">C57+D56</f>
        <v>227380.82399999999</v>
      </c>
      <c r="E57" s="293">
        <f t="shared" si="37"/>
        <v>341071.23599999998</v>
      </c>
      <c r="F57" s="293">
        <f t="shared" si="37"/>
        <v>454761.64799999999</v>
      </c>
      <c r="G57" s="293">
        <f t="shared" si="37"/>
        <v>568452.05999999994</v>
      </c>
      <c r="H57" s="293">
        <f t="shared" si="37"/>
        <v>682142.47199999995</v>
      </c>
      <c r="I57" s="293">
        <f t="shared" si="37"/>
        <v>795832.88399999996</v>
      </c>
      <c r="J57" s="70"/>
      <c r="K57" s="293">
        <f>K56</f>
        <v>143548.5</v>
      </c>
      <c r="L57" s="293">
        <f t="shared" ref="L57:Q57" si="38">K57+L56</f>
        <v>265564.72499999998</v>
      </c>
      <c r="M57" s="293">
        <f t="shared" si="38"/>
        <v>369278.51624999999</v>
      </c>
      <c r="N57" s="293">
        <f t="shared" si="38"/>
        <v>457435.23881249997</v>
      </c>
      <c r="O57" s="293">
        <f t="shared" si="38"/>
        <v>532368.45299062494</v>
      </c>
      <c r="P57" s="293">
        <f t="shared" si="38"/>
        <v>596061.68504203123</v>
      </c>
      <c r="Q57" s="293">
        <f t="shared" si="38"/>
        <v>650200.93228572654</v>
      </c>
    </row>
    <row r="58" spans="1:17" x14ac:dyDescent="0.25">
      <c r="A58" s="291" t="s">
        <v>185</v>
      </c>
      <c r="B58" s="291"/>
      <c r="C58" s="293">
        <f t="shared" ref="C58:I58" si="39">C55-C56</f>
        <v>843299.58799999999</v>
      </c>
      <c r="D58" s="293">
        <f t="shared" si="39"/>
        <v>729609.17599999998</v>
      </c>
      <c r="E58" s="293">
        <f t="shared" si="39"/>
        <v>615918.76399999997</v>
      </c>
      <c r="F58" s="293">
        <f t="shared" si="39"/>
        <v>502228.35199999996</v>
      </c>
      <c r="G58" s="293">
        <f t="shared" si="39"/>
        <v>388537.93999999994</v>
      </c>
      <c r="H58" s="293">
        <f t="shared" si="39"/>
        <v>274847.52799999993</v>
      </c>
      <c r="I58" s="293">
        <f t="shared" si="39"/>
        <v>161157.11599999992</v>
      </c>
      <c r="J58" s="70"/>
      <c r="K58" s="293">
        <f t="shared" ref="K58:Q58" si="40">K55-K56</f>
        <v>813441.5</v>
      </c>
      <c r="L58" s="293">
        <f t="shared" si="40"/>
        <v>691425.27500000002</v>
      </c>
      <c r="M58" s="293">
        <f t="shared" si="40"/>
        <v>587711.48375000001</v>
      </c>
      <c r="N58" s="293">
        <f t="shared" si="40"/>
        <v>499554.76118750003</v>
      </c>
      <c r="O58" s="293">
        <f t="shared" si="40"/>
        <v>424621.54700937506</v>
      </c>
      <c r="P58" s="293">
        <f t="shared" si="40"/>
        <v>360928.31495796877</v>
      </c>
      <c r="Q58" s="293">
        <f t="shared" si="40"/>
        <v>306789.06771427346</v>
      </c>
    </row>
    <row r="59" spans="1:17" x14ac:dyDescent="0.25">
      <c r="A59" s="291"/>
      <c r="B59" s="291"/>
      <c r="C59" s="293"/>
      <c r="D59" s="293"/>
      <c r="E59" s="293"/>
      <c r="F59" s="293"/>
      <c r="G59" s="293"/>
      <c r="H59" s="293"/>
      <c r="I59" s="293"/>
      <c r="J59" s="70"/>
      <c r="K59" s="293"/>
      <c r="L59" s="293"/>
      <c r="M59" s="293"/>
      <c r="N59" s="293"/>
      <c r="O59" s="293"/>
      <c r="P59" s="293"/>
      <c r="Q59" s="293"/>
    </row>
    <row r="60" spans="1:17" x14ac:dyDescent="0.25">
      <c r="A60" s="294" t="s">
        <v>313</v>
      </c>
      <c r="B60" s="291"/>
      <c r="C60" s="293"/>
      <c r="D60" s="293"/>
      <c r="E60" s="293"/>
      <c r="F60" s="293"/>
      <c r="G60" s="293"/>
      <c r="H60" s="293"/>
      <c r="I60" s="293"/>
      <c r="J60" s="70"/>
      <c r="K60" s="293"/>
      <c r="L60" s="293"/>
      <c r="M60" s="293"/>
      <c r="N60" s="293"/>
      <c r="O60" s="293"/>
      <c r="P60" s="293"/>
      <c r="Q60" s="293"/>
    </row>
    <row r="61" spans="1:17" x14ac:dyDescent="0.25">
      <c r="A61" s="291" t="str">
        <f>A55</f>
        <v>Asset Value</v>
      </c>
      <c r="B61" s="291"/>
      <c r="C61" s="293">
        <f>'1.Project Cost and MOF'!D8</f>
        <v>697395</v>
      </c>
      <c r="D61" s="293">
        <f t="shared" ref="D61:I61" si="41">C64</f>
        <v>627655.5</v>
      </c>
      <c r="E61" s="293">
        <f t="shared" si="41"/>
        <v>557916</v>
      </c>
      <c r="F61" s="293">
        <f t="shared" si="41"/>
        <v>488176.5</v>
      </c>
      <c r="G61" s="293">
        <f t="shared" si="41"/>
        <v>418437</v>
      </c>
      <c r="H61" s="293">
        <f t="shared" si="41"/>
        <v>348697.5</v>
      </c>
      <c r="I61" s="293">
        <f t="shared" si="41"/>
        <v>278958</v>
      </c>
      <c r="J61" s="70"/>
      <c r="K61" s="293">
        <f>C61</f>
        <v>697395</v>
      </c>
      <c r="L61" s="293">
        <f t="shared" ref="L61:Q61" si="42">K64</f>
        <v>418437</v>
      </c>
      <c r="M61" s="293">
        <f t="shared" si="42"/>
        <v>251062.19999999998</v>
      </c>
      <c r="N61" s="293">
        <f t="shared" si="42"/>
        <v>150637.31999999998</v>
      </c>
      <c r="O61" s="293">
        <f t="shared" si="42"/>
        <v>90382.391999999993</v>
      </c>
      <c r="P61" s="293">
        <f t="shared" si="42"/>
        <v>54229.435199999993</v>
      </c>
      <c r="Q61" s="293">
        <f t="shared" si="42"/>
        <v>32537.661119999993</v>
      </c>
    </row>
    <row r="62" spans="1:17" x14ac:dyDescent="0.25">
      <c r="A62" s="291" t="str">
        <f>A56</f>
        <v>Depreciation</v>
      </c>
      <c r="B62" s="291"/>
      <c r="C62" s="293">
        <f t="shared" ref="C62:I62" si="43">$C$61*$B$76</f>
        <v>69739.5</v>
      </c>
      <c r="D62" s="293">
        <f t="shared" si="43"/>
        <v>69739.5</v>
      </c>
      <c r="E62" s="293">
        <f t="shared" si="43"/>
        <v>69739.5</v>
      </c>
      <c r="F62" s="293">
        <f t="shared" si="43"/>
        <v>69739.5</v>
      </c>
      <c r="G62" s="293">
        <f t="shared" si="43"/>
        <v>69739.5</v>
      </c>
      <c r="H62" s="293">
        <f t="shared" si="43"/>
        <v>69739.5</v>
      </c>
      <c r="I62" s="293">
        <f t="shared" si="43"/>
        <v>69739.5</v>
      </c>
      <c r="J62" s="70"/>
      <c r="K62" s="293">
        <f t="shared" ref="K62:Q62" si="44">K61*$C$76</f>
        <v>278958</v>
      </c>
      <c r="L62" s="293">
        <f t="shared" si="44"/>
        <v>167374.80000000002</v>
      </c>
      <c r="M62" s="293">
        <f t="shared" si="44"/>
        <v>100424.88</v>
      </c>
      <c r="N62" s="293">
        <f t="shared" si="44"/>
        <v>60254.927999999993</v>
      </c>
      <c r="O62" s="293">
        <f t="shared" si="44"/>
        <v>36152.9568</v>
      </c>
      <c r="P62" s="293">
        <f t="shared" si="44"/>
        <v>21691.774079999999</v>
      </c>
      <c r="Q62" s="293">
        <f t="shared" si="44"/>
        <v>13015.064447999997</v>
      </c>
    </row>
    <row r="63" spans="1:17" x14ac:dyDescent="0.25">
      <c r="A63" s="291" t="str">
        <f>A57</f>
        <v>Accumulated Depreciation</v>
      </c>
      <c r="B63" s="291"/>
      <c r="C63" s="293">
        <f>C62</f>
        <v>69739.5</v>
      </c>
      <c r="D63" s="293">
        <f t="shared" ref="D63:I63" si="45">D62+C63</f>
        <v>139479</v>
      </c>
      <c r="E63" s="293">
        <f t="shared" si="45"/>
        <v>209218.5</v>
      </c>
      <c r="F63" s="293">
        <f t="shared" si="45"/>
        <v>278958</v>
      </c>
      <c r="G63" s="293">
        <f t="shared" si="45"/>
        <v>348697.5</v>
      </c>
      <c r="H63" s="293">
        <f t="shared" si="45"/>
        <v>418437</v>
      </c>
      <c r="I63" s="293">
        <f t="shared" si="45"/>
        <v>488176.5</v>
      </c>
      <c r="J63" s="70"/>
      <c r="K63" s="293">
        <f>K62</f>
        <v>278958</v>
      </c>
      <c r="L63" s="293">
        <f t="shared" ref="L63:Q63" si="46">L62+K63</f>
        <v>446332.80000000005</v>
      </c>
      <c r="M63" s="293">
        <f t="shared" si="46"/>
        <v>546757.68000000005</v>
      </c>
      <c r="N63" s="293">
        <f t="shared" si="46"/>
        <v>607012.60800000001</v>
      </c>
      <c r="O63" s="293">
        <f t="shared" si="46"/>
        <v>643165.56480000005</v>
      </c>
      <c r="P63" s="293">
        <f t="shared" si="46"/>
        <v>664857.33888000005</v>
      </c>
      <c r="Q63" s="293">
        <f t="shared" si="46"/>
        <v>677872.4033280001</v>
      </c>
    </row>
    <row r="64" spans="1:17" x14ac:dyDescent="0.25">
      <c r="A64" s="291" t="str">
        <f>A58</f>
        <v>Net Fixed Assets</v>
      </c>
      <c r="B64" s="291"/>
      <c r="C64" s="293">
        <f t="shared" ref="C64:I64" si="47">C61-C62</f>
        <v>627655.5</v>
      </c>
      <c r="D64" s="293">
        <f t="shared" si="47"/>
        <v>557916</v>
      </c>
      <c r="E64" s="293">
        <f t="shared" si="47"/>
        <v>488176.5</v>
      </c>
      <c r="F64" s="293">
        <f t="shared" si="47"/>
        <v>418437</v>
      </c>
      <c r="G64" s="293">
        <f t="shared" si="47"/>
        <v>348697.5</v>
      </c>
      <c r="H64" s="293">
        <f t="shared" si="47"/>
        <v>278958</v>
      </c>
      <c r="I64" s="293">
        <f t="shared" si="47"/>
        <v>209218.5</v>
      </c>
      <c r="J64" s="70"/>
      <c r="K64" s="293">
        <f t="shared" ref="K64:Q64" si="48">K61-K62</f>
        <v>418437</v>
      </c>
      <c r="L64" s="293">
        <f t="shared" si="48"/>
        <v>251062.19999999998</v>
      </c>
      <c r="M64" s="293">
        <f t="shared" si="48"/>
        <v>150637.31999999998</v>
      </c>
      <c r="N64" s="293">
        <f t="shared" si="48"/>
        <v>90382.391999999993</v>
      </c>
      <c r="O64" s="293">
        <f t="shared" si="48"/>
        <v>54229.435199999993</v>
      </c>
      <c r="P64" s="293">
        <f t="shared" si="48"/>
        <v>32537.661119999993</v>
      </c>
      <c r="Q64" s="293">
        <f t="shared" si="48"/>
        <v>19522.596671999996</v>
      </c>
    </row>
    <row r="65" spans="1:17" x14ac:dyDescent="0.25">
      <c r="A65" s="292" t="s">
        <v>189</v>
      </c>
      <c r="B65" s="292"/>
      <c r="C65" s="295">
        <f t="shared" ref="C65:I68" si="49">C49+C43+C37+C55+C61</f>
        <v>36486666</v>
      </c>
      <c r="D65" s="295">
        <f t="shared" si="49"/>
        <v>34666913.644999996</v>
      </c>
      <c r="E65" s="295">
        <f t="shared" si="49"/>
        <v>32847161.289999995</v>
      </c>
      <c r="F65" s="295">
        <f t="shared" si="49"/>
        <v>31027408.934999995</v>
      </c>
      <c r="G65" s="295">
        <f t="shared" si="49"/>
        <v>29207656.579999991</v>
      </c>
      <c r="H65" s="295">
        <f t="shared" si="49"/>
        <v>27387904.224999994</v>
      </c>
      <c r="I65" s="295">
        <f t="shared" si="49"/>
        <v>25568151.869999994</v>
      </c>
      <c r="J65" s="70"/>
      <c r="K65" s="295">
        <f t="shared" ref="K65:Q68" si="50">K49+K43+K37+K55+K61</f>
        <v>36486666</v>
      </c>
      <c r="L65" s="295">
        <f t="shared" si="50"/>
        <v>31857769.75</v>
      </c>
      <c r="M65" s="295">
        <f t="shared" si="50"/>
        <v>27891102.197499998</v>
      </c>
      <c r="N65" s="295">
        <f t="shared" si="50"/>
        <v>24469617.761875</v>
      </c>
      <c r="O65" s="295">
        <f t="shared" si="50"/>
        <v>21503967.56719375</v>
      </c>
      <c r="P65" s="295">
        <f t="shared" si="50"/>
        <v>18923983.453754682</v>
      </c>
      <c r="Q65" s="295">
        <f t="shared" si="50"/>
        <v>16673214.534567481</v>
      </c>
    </row>
    <row r="66" spans="1:17" x14ac:dyDescent="0.25">
      <c r="A66" s="292" t="s">
        <v>190</v>
      </c>
      <c r="B66" s="292"/>
      <c r="C66" s="295">
        <f t="shared" si="49"/>
        <v>1819752.355</v>
      </c>
      <c r="D66" s="295">
        <f t="shared" si="49"/>
        <v>1819752.355</v>
      </c>
      <c r="E66" s="295">
        <f t="shared" si="49"/>
        <v>1819752.355</v>
      </c>
      <c r="F66" s="295">
        <f t="shared" si="49"/>
        <v>1819752.355</v>
      </c>
      <c r="G66" s="295">
        <f t="shared" si="49"/>
        <v>1819752.355</v>
      </c>
      <c r="H66" s="295">
        <f t="shared" si="49"/>
        <v>1819752.355</v>
      </c>
      <c r="I66" s="295">
        <f t="shared" si="49"/>
        <v>1819752.355</v>
      </c>
      <c r="J66" s="70"/>
      <c r="K66" s="295">
        <f t="shared" si="50"/>
        <v>4628896.25</v>
      </c>
      <c r="L66" s="295">
        <f t="shared" si="50"/>
        <v>3966667.5524999998</v>
      </c>
      <c r="M66" s="295">
        <f t="shared" si="50"/>
        <v>3421484.4356249999</v>
      </c>
      <c r="N66" s="295">
        <f t="shared" si="50"/>
        <v>2965650.1946812496</v>
      </c>
      <c r="O66" s="295">
        <f t="shared" si="50"/>
        <v>2579984.1134390621</v>
      </c>
      <c r="P66" s="295">
        <f t="shared" si="50"/>
        <v>2250768.9191872026</v>
      </c>
      <c r="Q66" s="295">
        <f t="shared" si="50"/>
        <v>1967869.2335567225</v>
      </c>
    </row>
    <row r="67" spans="1:17" x14ac:dyDescent="0.25">
      <c r="A67" s="292" t="s">
        <v>191</v>
      </c>
      <c r="B67" s="292"/>
      <c r="C67" s="295">
        <f t="shared" si="49"/>
        <v>1819752.355</v>
      </c>
      <c r="D67" s="295">
        <f t="shared" si="49"/>
        <v>3639504.71</v>
      </c>
      <c r="E67" s="295">
        <f t="shared" si="49"/>
        <v>5459257.0649999995</v>
      </c>
      <c r="F67" s="295">
        <f t="shared" si="49"/>
        <v>7279009.4199999999</v>
      </c>
      <c r="G67" s="295">
        <f t="shared" si="49"/>
        <v>9098761.7750000004</v>
      </c>
      <c r="H67" s="295">
        <f t="shared" si="49"/>
        <v>10918514.129999999</v>
      </c>
      <c r="I67" s="295">
        <f t="shared" si="49"/>
        <v>12738266.484999999</v>
      </c>
      <c r="J67" s="70"/>
      <c r="K67" s="295">
        <f t="shared" si="50"/>
        <v>4628896.25</v>
      </c>
      <c r="L67" s="295">
        <f t="shared" si="50"/>
        <v>8595563.8025000002</v>
      </c>
      <c r="M67" s="295">
        <f t="shared" si="50"/>
        <v>12017048.238125</v>
      </c>
      <c r="N67" s="295">
        <f t="shared" si="50"/>
        <v>14982698.43280625</v>
      </c>
      <c r="O67" s="295">
        <f t="shared" si="50"/>
        <v>17562682.54624531</v>
      </c>
      <c r="P67" s="295">
        <f t="shared" si="50"/>
        <v>19813451.465432514</v>
      </c>
      <c r="Q67" s="295">
        <f t="shared" si="50"/>
        <v>21781320.698989235</v>
      </c>
    </row>
    <row r="68" spans="1:17" x14ac:dyDescent="0.25">
      <c r="A68" s="292" t="s">
        <v>185</v>
      </c>
      <c r="B68" s="292"/>
      <c r="C68" s="295">
        <f t="shared" si="49"/>
        <v>34666913.644999996</v>
      </c>
      <c r="D68" s="295">
        <f t="shared" si="49"/>
        <v>32847161.289999995</v>
      </c>
      <c r="E68" s="295">
        <f t="shared" si="49"/>
        <v>31027408.934999995</v>
      </c>
      <c r="F68" s="295">
        <f t="shared" si="49"/>
        <v>29207656.579999991</v>
      </c>
      <c r="G68" s="295">
        <f t="shared" si="49"/>
        <v>27387904.224999994</v>
      </c>
      <c r="H68" s="295">
        <f t="shared" si="49"/>
        <v>25568151.869999994</v>
      </c>
      <c r="I68" s="295">
        <f t="shared" si="49"/>
        <v>23748399.514999993</v>
      </c>
      <c r="J68" s="70"/>
      <c r="K68" s="295">
        <f t="shared" si="50"/>
        <v>31857769.75</v>
      </c>
      <c r="L68" s="295">
        <f t="shared" si="50"/>
        <v>27891102.197499998</v>
      </c>
      <c r="M68" s="295">
        <f t="shared" si="50"/>
        <v>24469617.761875</v>
      </c>
      <c r="N68" s="295">
        <f t="shared" si="50"/>
        <v>21503967.56719375</v>
      </c>
      <c r="O68" s="295">
        <f t="shared" si="50"/>
        <v>18923983.453754682</v>
      </c>
      <c r="P68" s="295">
        <f t="shared" si="50"/>
        <v>16673214.534567481</v>
      </c>
      <c r="Q68" s="295">
        <f t="shared" si="50"/>
        <v>14705345.30101076</v>
      </c>
    </row>
    <row r="69" spans="1:17" x14ac:dyDescent="0.25">
      <c r="A69" s="296"/>
      <c r="B69" s="296"/>
      <c r="C69" s="297"/>
      <c r="D69" s="297"/>
      <c r="E69" s="297"/>
      <c r="F69" s="297"/>
      <c r="G69" s="297"/>
      <c r="H69" s="297"/>
      <c r="I69" s="297"/>
    </row>
    <row r="71" spans="1:17" ht="30" x14ac:dyDescent="0.25">
      <c r="A71" s="298" t="s">
        <v>192</v>
      </c>
      <c r="B71" s="299" t="s">
        <v>193</v>
      </c>
      <c r="C71" s="300" t="s">
        <v>194</v>
      </c>
    </row>
    <row r="72" spans="1:17" ht="30" x14ac:dyDescent="0.25">
      <c r="A72" s="301" t="s">
        <v>195</v>
      </c>
      <c r="B72" s="299" t="s">
        <v>196</v>
      </c>
      <c r="C72" s="300" t="s">
        <v>197</v>
      </c>
    </row>
    <row r="73" spans="1:17" x14ac:dyDescent="0.25">
      <c r="A73" s="301" t="s">
        <v>147</v>
      </c>
      <c r="B73" s="302">
        <v>0</v>
      </c>
      <c r="C73" s="302">
        <v>0</v>
      </c>
    </row>
    <row r="74" spans="1:17" x14ac:dyDescent="0.25">
      <c r="A74" s="303" t="s">
        <v>186</v>
      </c>
      <c r="B74" s="302">
        <v>3.1699999999999999E-2</v>
      </c>
      <c r="C74" s="302">
        <v>0.1</v>
      </c>
      <c r="D74" s="74"/>
    </row>
    <row r="75" spans="1:17" x14ac:dyDescent="0.25">
      <c r="A75" s="303" t="s">
        <v>188</v>
      </c>
      <c r="B75" s="304">
        <v>0.1</v>
      </c>
      <c r="C75" s="302">
        <v>0.1</v>
      </c>
    </row>
    <row r="76" spans="1:17" x14ac:dyDescent="0.25">
      <c r="A76" s="39" t="s">
        <v>198</v>
      </c>
      <c r="B76" s="304">
        <v>0.1</v>
      </c>
      <c r="C76" s="304">
        <v>0.4</v>
      </c>
    </row>
    <row r="77" spans="1:17" x14ac:dyDescent="0.25">
      <c r="A77" s="39" t="s">
        <v>263</v>
      </c>
      <c r="B77" s="304">
        <v>0.1188</v>
      </c>
      <c r="C77" s="304">
        <v>0.15</v>
      </c>
    </row>
    <row r="78" spans="1:17" x14ac:dyDescent="0.25">
      <c r="A78" s="303" t="s">
        <v>199</v>
      </c>
      <c r="B78" s="304">
        <v>6.3299999999999995E-2</v>
      </c>
      <c r="C78" s="304">
        <v>0.15</v>
      </c>
    </row>
    <row r="79" spans="1:17" ht="30" x14ac:dyDescent="0.25">
      <c r="A79" s="301" t="s">
        <v>192</v>
      </c>
      <c r="B79" s="302"/>
      <c r="C79" s="305"/>
    </row>
    <row r="80" spans="1:17" x14ac:dyDescent="0.25">
      <c r="A80" s="303" t="s">
        <v>200</v>
      </c>
      <c r="B80" s="305">
        <v>0.2</v>
      </c>
      <c r="C80" s="306">
        <v>0.2</v>
      </c>
    </row>
    <row r="82" spans="1:12" x14ac:dyDescent="0.25">
      <c r="E82" s="145"/>
    </row>
    <row r="83" spans="1:12" s="178" customFormat="1" x14ac:dyDescent="0.25">
      <c r="A83" s="427" t="s">
        <v>512</v>
      </c>
      <c r="B83" s="427"/>
      <c r="C83" s="427"/>
      <c r="D83" s="427"/>
      <c r="E83" s="427"/>
      <c r="F83" s="427"/>
      <c r="G83" s="427"/>
      <c r="H83" s="427"/>
      <c r="I83" s="427"/>
      <c r="J83" s="427"/>
    </row>
    <row r="84" spans="1:12" s="178" customFormat="1" x14ac:dyDescent="0.25">
      <c r="A84" s="307"/>
      <c r="B84" s="307"/>
    </row>
    <row r="85" spans="1:12" s="178" customFormat="1" x14ac:dyDescent="0.25">
      <c r="A85" s="308" t="s">
        <v>0</v>
      </c>
      <c r="B85" s="309" t="s">
        <v>323</v>
      </c>
      <c r="C85" s="310" t="s">
        <v>2</v>
      </c>
      <c r="D85" s="310" t="s">
        <v>3</v>
      </c>
      <c r="E85" s="310" t="s">
        <v>4</v>
      </c>
      <c r="F85" s="310" t="s">
        <v>5</v>
      </c>
      <c r="G85" s="310" t="s">
        <v>6</v>
      </c>
      <c r="H85" s="310" t="s">
        <v>166</v>
      </c>
      <c r="I85" s="310" t="s">
        <v>165</v>
      </c>
      <c r="J85" s="311"/>
      <c r="K85" s="311"/>
      <c r="L85" s="311"/>
    </row>
    <row r="86" spans="1:12" s="178" customFormat="1" x14ac:dyDescent="0.25">
      <c r="A86" s="312" t="s">
        <v>241</v>
      </c>
      <c r="B86" s="313">
        <v>5</v>
      </c>
      <c r="C86" s="314">
        <f>'1.Project Cost and MOF'!$D$10/5</f>
        <v>97000</v>
      </c>
      <c r="D86" s="314">
        <f>'1.Project Cost and MOF'!$D$10/5</f>
        <v>97000</v>
      </c>
      <c r="E86" s="314">
        <f>'1.Project Cost and MOF'!$D$10/5</f>
        <v>97000</v>
      </c>
      <c r="F86" s="314">
        <f>'1.Project Cost and MOF'!$D$10/5</f>
        <v>97000</v>
      </c>
      <c r="G86" s="314">
        <f>'1.Project Cost and MOF'!$D$10/5</f>
        <v>97000</v>
      </c>
      <c r="H86" s="314">
        <v>0</v>
      </c>
      <c r="I86" s="314">
        <v>0</v>
      </c>
      <c r="J86" s="311"/>
      <c r="K86" s="311"/>
      <c r="L86" s="311"/>
    </row>
    <row r="87" spans="1:12" s="178" customFormat="1" x14ac:dyDescent="0.25">
      <c r="A87" s="315" t="s">
        <v>324</v>
      </c>
      <c r="B87" s="177"/>
      <c r="C87" s="316">
        <f t="shared" ref="C87:I87" si="51">SUM(C85:C86)</f>
        <v>97000</v>
      </c>
      <c r="D87" s="316">
        <f t="shared" si="51"/>
        <v>97000</v>
      </c>
      <c r="E87" s="316">
        <f t="shared" si="51"/>
        <v>97000</v>
      </c>
      <c r="F87" s="316">
        <f t="shared" si="51"/>
        <v>97000</v>
      </c>
      <c r="G87" s="316">
        <f t="shared" si="51"/>
        <v>97000</v>
      </c>
      <c r="H87" s="316">
        <f t="shared" si="51"/>
        <v>0</v>
      </c>
      <c r="I87" s="316">
        <f t="shared" si="51"/>
        <v>0</v>
      </c>
      <c r="J87" s="317"/>
      <c r="K87" s="317"/>
      <c r="L87" s="317"/>
    </row>
    <row r="88" spans="1:12" s="178" customFormat="1" x14ac:dyDescent="0.25">
      <c r="C88" s="311"/>
      <c r="D88" s="311"/>
      <c r="E88" s="311"/>
      <c r="F88" s="311"/>
      <c r="G88" s="311"/>
      <c r="H88" s="311"/>
      <c r="I88" s="311"/>
      <c r="J88" s="311"/>
      <c r="K88" s="311"/>
      <c r="L88" s="311"/>
    </row>
    <row r="91" spans="1:12" x14ac:dyDescent="0.25">
      <c r="A91" s="318"/>
      <c r="B91" s="319"/>
      <c r="C91" s="319"/>
      <c r="D91" s="319"/>
      <c r="E91" s="319"/>
      <c r="F91" s="319"/>
      <c r="G91" s="319"/>
      <c r="H91" s="319"/>
      <c r="I91" s="319"/>
      <c r="J91" s="319"/>
      <c r="K91" s="319"/>
    </row>
    <row r="92" spans="1:12" x14ac:dyDescent="0.25">
      <c r="A92" s="434" t="s">
        <v>513</v>
      </c>
      <c r="B92" s="434"/>
      <c r="C92" s="434"/>
      <c r="D92" s="434"/>
      <c r="E92" s="434"/>
      <c r="F92" s="434"/>
      <c r="G92" s="434"/>
      <c r="H92" s="434"/>
      <c r="I92" s="320"/>
      <c r="J92" s="320"/>
      <c r="K92" s="320"/>
    </row>
    <row r="93" spans="1:12" x14ac:dyDescent="0.25">
      <c r="A93" s="307"/>
      <c r="B93" s="319"/>
      <c r="C93" s="319"/>
      <c r="D93" s="319"/>
      <c r="E93" s="319"/>
      <c r="F93" s="319"/>
      <c r="G93" s="319"/>
      <c r="H93" s="319"/>
      <c r="I93" s="319"/>
      <c r="J93" s="319"/>
      <c r="K93" s="319"/>
    </row>
    <row r="94" spans="1:12" x14ac:dyDescent="0.25">
      <c r="A94" s="76" t="s">
        <v>0</v>
      </c>
      <c r="B94" s="77" t="s">
        <v>2</v>
      </c>
      <c r="C94" s="77" t="s">
        <v>3</v>
      </c>
      <c r="D94" s="77" t="s">
        <v>4</v>
      </c>
      <c r="E94" s="77" t="s">
        <v>5</v>
      </c>
      <c r="F94" s="77" t="s">
        <v>6</v>
      </c>
      <c r="G94" s="77" t="s">
        <v>166</v>
      </c>
      <c r="H94" s="77" t="s">
        <v>165</v>
      </c>
      <c r="I94" s="321"/>
      <c r="J94" s="321"/>
      <c r="K94" s="321"/>
    </row>
    <row r="95" spans="1:12" x14ac:dyDescent="0.25">
      <c r="A95" s="163" t="s">
        <v>213</v>
      </c>
      <c r="B95" s="322">
        <f>'6.Cons Profit &amp; Loss'!B49</f>
        <v>1043563.8180927923</v>
      </c>
      <c r="C95" s="322">
        <f>'6.Cons Profit &amp; Loss'!C49</f>
        <v>4355629.1781181339</v>
      </c>
      <c r="D95" s="322">
        <f>'6.Cons Profit &amp; Loss'!D49</f>
        <v>5347737.1172936615</v>
      </c>
      <c r="E95" s="322">
        <f>'6.Cons Profit &amp; Loss'!E49</f>
        <v>8073518.9730638377</v>
      </c>
      <c r="F95" s="322">
        <f>'6.Cons Profit &amp; Loss'!F49</f>
        <v>11064072.012003295</v>
      </c>
      <c r="G95" s="322">
        <f>'6.Cons Profit &amp; Loss'!G49</f>
        <v>14228165.277353825</v>
      </c>
      <c r="H95" s="322">
        <f>'6.Cons Profit &amp; Loss'!H49</f>
        <v>16320189.386024926</v>
      </c>
      <c r="I95" s="323"/>
      <c r="J95" s="323"/>
      <c r="K95" s="323"/>
    </row>
    <row r="96" spans="1:12" x14ac:dyDescent="0.25">
      <c r="A96" s="163" t="s">
        <v>214</v>
      </c>
      <c r="B96" s="322">
        <f>'6.Cons Profit &amp; Loss'!B42</f>
        <v>1819752.355</v>
      </c>
      <c r="C96" s="322">
        <f>'6.Cons Profit &amp; Loss'!C42</f>
        <v>1819752.355</v>
      </c>
      <c r="D96" s="322">
        <f>'6.Cons Profit &amp; Loss'!D42</f>
        <v>1819752.355</v>
      </c>
      <c r="E96" s="322">
        <f>'6.Cons Profit &amp; Loss'!E42</f>
        <v>1819752.355</v>
      </c>
      <c r="F96" s="322">
        <f>'6.Cons Profit &amp; Loss'!F42</f>
        <v>1819752.355</v>
      </c>
      <c r="G96" s="322">
        <f>'6.Cons Profit &amp; Loss'!G42</f>
        <v>1819752.355</v>
      </c>
      <c r="H96" s="322">
        <f>'6.Cons Profit &amp; Loss'!H42</f>
        <v>1819752.355</v>
      </c>
      <c r="I96" s="323"/>
      <c r="J96" s="323"/>
      <c r="K96" s="323"/>
    </row>
    <row r="97" spans="1:11" x14ac:dyDescent="0.25">
      <c r="A97" s="163" t="s">
        <v>215</v>
      </c>
      <c r="B97" s="322">
        <f>'3.Other Exp &amp; Taxes'!K66</f>
        <v>4628896.25</v>
      </c>
      <c r="C97" s="322">
        <f>'3.Other Exp &amp; Taxes'!L66</f>
        <v>3966667.5524999998</v>
      </c>
      <c r="D97" s="322">
        <f>'3.Other Exp &amp; Taxes'!M66</f>
        <v>3421484.4356249999</v>
      </c>
      <c r="E97" s="322">
        <f>'3.Other Exp &amp; Taxes'!N66</f>
        <v>2965650.1946812496</v>
      </c>
      <c r="F97" s="322">
        <f>'3.Other Exp &amp; Taxes'!O66</f>
        <v>2579984.1134390621</v>
      </c>
      <c r="G97" s="322">
        <f>'3.Other Exp &amp; Taxes'!P66</f>
        <v>2250768.9191872026</v>
      </c>
      <c r="H97" s="322">
        <f>'3.Other Exp &amp; Taxes'!Q66</f>
        <v>1967869.2335567225</v>
      </c>
      <c r="I97" s="323"/>
      <c r="J97" s="323"/>
      <c r="K97" s="323"/>
    </row>
    <row r="98" spans="1:11" x14ac:dyDescent="0.25">
      <c r="A98" s="163" t="s">
        <v>274</v>
      </c>
      <c r="B98" s="322">
        <f t="shared" ref="B98:H98" si="52">B95+B96-B97</f>
        <v>-1765580.0769072077</v>
      </c>
      <c r="C98" s="322">
        <f t="shared" si="52"/>
        <v>2208713.9806181346</v>
      </c>
      <c r="D98" s="322">
        <f t="shared" si="52"/>
        <v>3746005.036668662</v>
      </c>
      <c r="E98" s="322">
        <f t="shared" si="52"/>
        <v>6927621.1333825886</v>
      </c>
      <c r="F98" s="322">
        <f t="shared" si="52"/>
        <v>10303840.253564233</v>
      </c>
      <c r="G98" s="322">
        <f t="shared" si="52"/>
        <v>13797148.713166622</v>
      </c>
      <c r="H98" s="322">
        <f t="shared" si="52"/>
        <v>16172072.507468203</v>
      </c>
      <c r="I98" s="323"/>
      <c r="J98" s="323"/>
      <c r="K98" s="323"/>
    </row>
    <row r="99" spans="1:11" x14ac:dyDescent="0.25">
      <c r="A99" s="165" t="s">
        <v>216</v>
      </c>
      <c r="B99" s="324">
        <f>IF((B98*$B$102)&gt;0,B98*$B$102,0)</f>
        <v>0</v>
      </c>
      <c r="C99" s="324">
        <f t="shared" ref="C99:H99" si="53">IF((C98*$B$102)&gt;0,C98*$B$102,0)</f>
        <v>574265.63496071496</v>
      </c>
      <c r="D99" s="324">
        <f t="shared" si="53"/>
        <v>973961.30953385215</v>
      </c>
      <c r="E99" s="324">
        <f t="shared" si="53"/>
        <v>1801181.4946794731</v>
      </c>
      <c r="F99" s="324">
        <f t="shared" si="53"/>
        <v>2678998.4659267007</v>
      </c>
      <c r="G99" s="324">
        <f t="shared" si="53"/>
        <v>3587258.665423322</v>
      </c>
      <c r="H99" s="324">
        <f t="shared" si="53"/>
        <v>4204738.8519417327</v>
      </c>
      <c r="I99" s="323"/>
      <c r="J99" s="323"/>
      <c r="K99" s="323"/>
    </row>
    <row r="100" spans="1:11" x14ac:dyDescent="0.25">
      <c r="A100" s="325"/>
      <c r="B100" s="319"/>
      <c r="C100" s="319"/>
      <c r="D100" s="319"/>
      <c r="E100" s="319"/>
      <c r="F100" s="319"/>
      <c r="G100" s="319"/>
      <c r="H100" s="319"/>
      <c r="I100" s="319"/>
      <c r="J100" s="319"/>
      <c r="K100" s="319"/>
    </row>
    <row r="101" spans="1:11" x14ac:dyDescent="0.25">
      <c r="A101" s="325"/>
      <c r="B101" s="311"/>
      <c r="C101" s="311"/>
      <c r="D101" s="311"/>
      <c r="E101" s="311"/>
      <c r="F101" s="311"/>
      <c r="G101" s="311"/>
      <c r="H101" s="311"/>
      <c r="I101" s="311"/>
      <c r="J101" s="311"/>
      <c r="K101" s="311"/>
    </row>
    <row r="102" spans="1:11" x14ac:dyDescent="0.25">
      <c r="A102" s="326" t="s">
        <v>369</v>
      </c>
      <c r="B102" s="327">
        <v>0.26</v>
      </c>
      <c r="C102" s="311"/>
      <c r="D102" s="311"/>
      <c r="E102" s="311"/>
      <c r="F102" s="311"/>
      <c r="G102" s="311"/>
      <c r="H102" s="311"/>
      <c r="I102" s="311"/>
      <c r="J102" s="311"/>
      <c r="K102" s="311"/>
    </row>
    <row r="103" spans="1:11" x14ac:dyDescent="0.25">
      <c r="A103" s="319"/>
      <c r="B103" s="319"/>
      <c r="C103" s="319"/>
      <c r="D103" s="319"/>
      <c r="E103" s="319"/>
      <c r="F103" s="319"/>
      <c r="G103" s="319"/>
      <c r="H103" s="319"/>
      <c r="I103" s="319"/>
      <c r="J103" s="319"/>
      <c r="K103" s="319"/>
    </row>
    <row r="104" spans="1:11" ht="29.1" customHeight="1" x14ac:dyDescent="0.25">
      <c r="A104" s="435" t="s">
        <v>399</v>
      </c>
      <c r="B104" s="435"/>
      <c r="C104" s="435"/>
      <c r="D104" s="435"/>
      <c r="E104" s="435"/>
      <c r="F104" s="435"/>
      <c r="G104" s="435"/>
      <c r="H104" s="435"/>
      <c r="I104" s="297"/>
      <c r="J104" s="297"/>
      <c r="K104" s="297"/>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workbookViewId="0">
      <selection activeCell="A9" sqref="A9:G69"/>
    </sheetView>
  </sheetViews>
  <sheetFormatPr defaultColWidth="8.7109375" defaultRowHeight="15" x14ac:dyDescent="0.25"/>
  <cols>
    <col min="1" max="1" width="8.7109375" style="39"/>
    <col min="2" max="2" width="15.42578125" style="39" customWidth="1"/>
    <col min="3" max="3" width="28.140625" style="39" bestFit="1" customWidth="1"/>
    <col min="4" max="4" width="14.7109375" style="39" customWidth="1"/>
    <col min="5" max="5" width="25.85546875" style="39" bestFit="1" customWidth="1"/>
    <col min="6" max="6" width="12.140625" style="39" customWidth="1"/>
    <col min="7" max="7" width="27.28515625" style="39" bestFit="1" customWidth="1"/>
    <col min="8" max="8" width="12.28515625" style="39" bestFit="1" customWidth="1"/>
    <col min="9" max="9" width="11.7109375" style="39" bestFit="1" customWidth="1"/>
    <col min="10" max="16384" width="8.7109375" style="39"/>
  </cols>
  <sheetData>
    <row r="2" spans="1:7" ht="14.45" x14ac:dyDescent="0.35">
      <c r="A2" s="425" t="s">
        <v>514</v>
      </c>
      <c r="B2" s="425"/>
      <c r="C2" s="425"/>
      <c r="D2" s="425"/>
      <c r="E2" s="425"/>
      <c r="F2" s="425"/>
      <c r="G2" s="437"/>
    </row>
    <row r="3" spans="1:7" ht="14.45" x14ac:dyDescent="0.35">
      <c r="B3" s="71"/>
      <c r="C3" s="71"/>
      <c r="D3" s="71"/>
      <c r="E3" s="71"/>
      <c r="F3" s="71"/>
      <c r="G3" s="71"/>
    </row>
    <row r="4" spans="1:7" ht="14.45" x14ac:dyDescent="0.35">
      <c r="C4" s="39" t="s">
        <v>440</v>
      </c>
      <c r="D4" s="118">
        <f>'1.Project Cost and MOF'!E20</f>
        <v>12770333.1</v>
      </c>
    </row>
    <row r="5" spans="1:7" ht="14.45" x14ac:dyDescent="0.35">
      <c r="C5" s="39" t="s">
        <v>441</v>
      </c>
      <c r="D5" s="279">
        <v>0.12</v>
      </c>
    </row>
    <row r="6" spans="1:7" ht="14.45" x14ac:dyDescent="0.35">
      <c r="C6" s="39" t="s">
        <v>442</v>
      </c>
      <c r="D6" s="280">
        <v>5</v>
      </c>
    </row>
    <row r="7" spans="1:7" ht="14.45" x14ac:dyDescent="0.35">
      <c r="C7" s="39" t="s">
        <v>443</v>
      </c>
      <c r="D7" s="280">
        <v>6</v>
      </c>
    </row>
    <row r="8" spans="1:7" ht="14.45" x14ac:dyDescent="0.35">
      <c r="C8" s="39" t="s">
        <v>22</v>
      </c>
      <c r="D8" s="281">
        <f>PMT(D5/12,(D6-(D7/12))*12,-D4)</f>
        <v>307210.57274500566</v>
      </c>
      <c r="E8" s="281"/>
      <c r="F8" s="282"/>
    </row>
    <row r="9" spans="1:7" ht="14.45" x14ac:dyDescent="0.35">
      <c r="A9" s="76" t="s">
        <v>275</v>
      </c>
      <c r="B9" s="283" t="s">
        <v>18</v>
      </c>
      <c r="C9" s="284" t="s">
        <v>19</v>
      </c>
      <c r="D9" s="284" t="s">
        <v>20</v>
      </c>
      <c r="E9" s="284" t="s">
        <v>21</v>
      </c>
      <c r="F9" s="284" t="s">
        <v>22</v>
      </c>
      <c r="G9" s="284" t="s">
        <v>23</v>
      </c>
    </row>
    <row r="10" spans="1:7" ht="14.45" x14ac:dyDescent="0.35">
      <c r="A10" s="47" t="s">
        <v>11</v>
      </c>
      <c r="B10" s="47" t="s">
        <v>51</v>
      </c>
      <c r="C10" s="82">
        <f>D4</f>
        <v>12770333.1</v>
      </c>
      <c r="D10" s="82">
        <f t="shared" ref="D10:D41" si="0">C10*$D$5/12</f>
        <v>127703.33099999999</v>
      </c>
      <c r="E10" s="82">
        <f t="shared" ref="E10:E15" si="1">F10-D10</f>
        <v>0</v>
      </c>
      <c r="F10" s="82">
        <f>D10</f>
        <v>127703.33099999999</v>
      </c>
      <c r="G10" s="82">
        <f>C10-E10</f>
        <v>12770333.1</v>
      </c>
    </row>
    <row r="11" spans="1:7" ht="14.45" x14ac:dyDescent="0.35">
      <c r="A11" s="47"/>
      <c r="B11" s="47" t="s">
        <v>52</v>
      </c>
      <c r="C11" s="82">
        <f>G10</f>
        <v>12770333.1</v>
      </c>
      <c r="D11" s="82">
        <f t="shared" si="0"/>
        <v>127703.33099999999</v>
      </c>
      <c r="E11" s="82">
        <f t="shared" si="1"/>
        <v>0</v>
      </c>
      <c r="F11" s="82">
        <f t="shared" ref="F11:F15" si="2">D11</f>
        <v>127703.33099999999</v>
      </c>
      <c r="G11" s="82">
        <f t="shared" ref="G11:G74" si="3">C11-E11</f>
        <v>12770333.1</v>
      </c>
    </row>
    <row r="12" spans="1:7" ht="14.45" x14ac:dyDescent="0.35">
      <c r="A12" s="47"/>
      <c r="B12" s="47" t="s">
        <v>53</v>
      </c>
      <c r="C12" s="82">
        <f t="shared" ref="C12:C75" si="4">G11</f>
        <v>12770333.1</v>
      </c>
      <c r="D12" s="82">
        <f t="shared" si="0"/>
        <v>127703.33099999999</v>
      </c>
      <c r="E12" s="82">
        <f t="shared" si="1"/>
        <v>0</v>
      </c>
      <c r="F12" s="82">
        <f t="shared" si="2"/>
        <v>127703.33099999999</v>
      </c>
      <c r="G12" s="82">
        <f t="shared" si="3"/>
        <v>12770333.1</v>
      </c>
    </row>
    <row r="13" spans="1:7" ht="14.45" x14ac:dyDescent="0.35">
      <c r="A13" s="47"/>
      <c r="B13" s="47" t="s">
        <v>54</v>
      </c>
      <c r="C13" s="82">
        <f t="shared" si="4"/>
        <v>12770333.1</v>
      </c>
      <c r="D13" s="82">
        <f t="shared" si="0"/>
        <v>127703.33099999999</v>
      </c>
      <c r="E13" s="82">
        <f t="shared" si="1"/>
        <v>0</v>
      </c>
      <c r="F13" s="82">
        <f t="shared" si="2"/>
        <v>127703.33099999999</v>
      </c>
      <c r="G13" s="82">
        <f t="shared" si="3"/>
        <v>12770333.1</v>
      </c>
    </row>
    <row r="14" spans="1:7" ht="14.45" x14ac:dyDescent="0.35">
      <c r="A14" s="47"/>
      <c r="B14" s="47" t="s">
        <v>55</v>
      </c>
      <c r="C14" s="82">
        <f t="shared" si="4"/>
        <v>12770333.1</v>
      </c>
      <c r="D14" s="82">
        <f t="shared" si="0"/>
        <v>127703.33099999999</v>
      </c>
      <c r="E14" s="82">
        <f t="shared" si="1"/>
        <v>0</v>
      </c>
      <c r="F14" s="82">
        <f t="shared" si="2"/>
        <v>127703.33099999999</v>
      </c>
      <c r="G14" s="82">
        <f t="shared" si="3"/>
        <v>12770333.1</v>
      </c>
    </row>
    <row r="15" spans="1:7" ht="14.45" x14ac:dyDescent="0.35">
      <c r="A15" s="47"/>
      <c r="B15" s="47" t="s">
        <v>56</v>
      </c>
      <c r="C15" s="82">
        <f t="shared" si="4"/>
        <v>12770333.1</v>
      </c>
      <c r="D15" s="82">
        <f t="shared" si="0"/>
        <v>127703.33099999999</v>
      </c>
      <c r="E15" s="82">
        <f t="shared" si="1"/>
        <v>0</v>
      </c>
      <c r="F15" s="82">
        <f t="shared" si="2"/>
        <v>127703.33099999999</v>
      </c>
      <c r="G15" s="82">
        <f t="shared" si="3"/>
        <v>12770333.1</v>
      </c>
    </row>
    <row r="16" spans="1:7" ht="14.45" x14ac:dyDescent="0.35">
      <c r="A16" s="47"/>
      <c r="B16" s="47" t="s">
        <v>57</v>
      </c>
      <c r="C16" s="82">
        <f t="shared" si="4"/>
        <v>12770333.1</v>
      </c>
      <c r="D16" s="82">
        <f t="shared" si="0"/>
        <v>127703.33099999999</v>
      </c>
      <c r="E16" s="82">
        <f>F16-D16</f>
        <v>179507.24174500565</v>
      </c>
      <c r="F16" s="82">
        <f t="shared" ref="F16:F69" si="5">$D$8</f>
        <v>307210.57274500566</v>
      </c>
      <c r="G16" s="82">
        <f t="shared" si="3"/>
        <v>12590825.858254993</v>
      </c>
    </row>
    <row r="17" spans="1:9" ht="14.45" x14ac:dyDescent="0.35">
      <c r="A17" s="47"/>
      <c r="B17" s="47" t="s">
        <v>58</v>
      </c>
      <c r="C17" s="82">
        <f t="shared" si="4"/>
        <v>12590825.858254993</v>
      </c>
      <c r="D17" s="82">
        <f t="shared" si="0"/>
        <v>125908.25858254993</v>
      </c>
      <c r="E17" s="82">
        <f t="shared" ref="E17:E80" si="6">F17-D17</f>
        <v>181302.31416245573</v>
      </c>
      <c r="F17" s="82">
        <f t="shared" si="5"/>
        <v>307210.57274500566</v>
      </c>
      <c r="G17" s="82">
        <f t="shared" si="3"/>
        <v>12409523.544092538</v>
      </c>
    </row>
    <row r="18" spans="1:9" ht="14.45" x14ac:dyDescent="0.35">
      <c r="A18" s="47"/>
      <c r="B18" s="47" t="s">
        <v>59</v>
      </c>
      <c r="C18" s="82">
        <f t="shared" si="4"/>
        <v>12409523.544092538</v>
      </c>
      <c r="D18" s="82">
        <f t="shared" si="0"/>
        <v>124095.23544092536</v>
      </c>
      <c r="E18" s="82">
        <f t="shared" si="6"/>
        <v>183115.33730408031</v>
      </c>
      <c r="F18" s="82">
        <f t="shared" si="5"/>
        <v>307210.57274500566</v>
      </c>
      <c r="G18" s="82">
        <f t="shared" si="3"/>
        <v>12226408.206788458</v>
      </c>
    </row>
    <row r="19" spans="1:9" ht="14.45" x14ac:dyDescent="0.35">
      <c r="A19" s="47"/>
      <c r="B19" s="47" t="s">
        <v>60</v>
      </c>
      <c r="C19" s="82">
        <f t="shared" si="4"/>
        <v>12226408.206788458</v>
      </c>
      <c r="D19" s="82">
        <f t="shared" si="0"/>
        <v>122264.08206788458</v>
      </c>
      <c r="E19" s="82">
        <f t="shared" si="6"/>
        <v>184946.4906771211</v>
      </c>
      <c r="F19" s="82">
        <f t="shared" si="5"/>
        <v>307210.57274500566</v>
      </c>
      <c r="G19" s="82">
        <f t="shared" si="3"/>
        <v>12041461.716111336</v>
      </c>
    </row>
    <row r="20" spans="1:9" ht="14.45" x14ac:dyDescent="0.35">
      <c r="A20" s="47"/>
      <c r="B20" s="47" t="s">
        <v>61</v>
      </c>
      <c r="C20" s="82">
        <f t="shared" si="4"/>
        <v>12041461.716111336</v>
      </c>
      <c r="D20" s="82">
        <f t="shared" si="0"/>
        <v>120414.61716111336</v>
      </c>
      <c r="E20" s="82">
        <f t="shared" si="6"/>
        <v>186795.9555838923</v>
      </c>
      <c r="F20" s="82">
        <f t="shared" si="5"/>
        <v>307210.57274500566</v>
      </c>
      <c r="G20" s="82">
        <f t="shared" si="3"/>
        <v>11854665.760527443</v>
      </c>
    </row>
    <row r="21" spans="1:9" ht="14.45" x14ac:dyDescent="0.35">
      <c r="A21" s="47"/>
      <c r="B21" s="47" t="s">
        <v>62</v>
      </c>
      <c r="C21" s="82">
        <f t="shared" si="4"/>
        <v>11854665.760527443</v>
      </c>
      <c r="D21" s="82">
        <f t="shared" si="0"/>
        <v>118546.65760527442</v>
      </c>
      <c r="E21" s="82">
        <f t="shared" si="6"/>
        <v>188663.91513973125</v>
      </c>
      <c r="F21" s="82">
        <f t="shared" si="5"/>
        <v>307210.57274500566</v>
      </c>
      <c r="G21" s="82">
        <f t="shared" si="3"/>
        <v>11666001.845387712</v>
      </c>
      <c r="H21" s="192"/>
      <c r="I21" s="192"/>
    </row>
    <row r="22" spans="1:9" ht="14.45" x14ac:dyDescent="0.35">
      <c r="A22" s="47" t="s">
        <v>12</v>
      </c>
      <c r="B22" s="47" t="s">
        <v>63</v>
      </c>
      <c r="C22" s="82">
        <f t="shared" si="4"/>
        <v>11666001.845387712</v>
      </c>
      <c r="D22" s="82">
        <f t="shared" si="0"/>
        <v>116660.01845387711</v>
      </c>
      <c r="E22" s="82">
        <f t="shared" si="6"/>
        <v>190550.55429112853</v>
      </c>
      <c r="F22" s="82">
        <f t="shared" si="5"/>
        <v>307210.57274500566</v>
      </c>
      <c r="G22" s="82">
        <f t="shared" si="3"/>
        <v>11475451.291096583</v>
      </c>
    </row>
    <row r="23" spans="1:9" ht="14.45" x14ac:dyDescent="0.35">
      <c r="A23" s="47"/>
      <c r="B23" s="47" t="s">
        <v>64</v>
      </c>
      <c r="C23" s="82">
        <f t="shared" si="4"/>
        <v>11475451.291096583</v>
      </c>
      <c r="D23" s="82">
        <f t="shared" si="0"/>
        <v>114754.51291096583</v>
      </c>
      <c r="E23" s="82">
        <f t="shared" si="6"/>
        <v>192456.05983403983</v>
      </c>
      <c r="F23" s="82">
        <f t="shared" si="5"/>
        <v>307210.57274500566</v>
      </c>
      <c r="G23" s="82">
        <f t="shared" si="3"/>
        <v>11282995.231262542</v>
      </c>
    </row>
    <row r="24" spans="1:9" ht="14.45" x14ac:dyDescent="0.35">
      <c r="A24" s="47"/>
      <c r="B24" s="47" t="s">
        <v>65</v>
      </c>
      <c r="C24" s="82">
        <f t="shared" si="4"/>
        <v>11282995.231262542</v>
      </c>
      <c r="D24" s="82">
        <f t="shared" si="0"/>
        <v>112829.95231262542</v>
      </c>
      <c r="E24" s="82">
        <f t="shared" si="6"/>
        <v>194380.62043238024</v>
      </c>
      <c r="F24" s="82">
        <f t="shared" si="5"/>
        <v>307210.57274500566</v>
      </c>
      <c r="G24" s="82">
        <f t="shared" si="3"/>
        <v>11088614.610830162</v>
      </c>
    </row>
    <row r="25" spans="1:9" ht="14.45" x14ac:dyDescent="0.35">
      <c r="A25" s="47"/>
      <c r="B25" s="47" t="s">
        <v>66</v>
      </c>
      <c r="C25" s="82">
        <f t="shared" si="4"/>
        <v>11088614.610830162</v>
      </c>
      <c r="D25" s="82">
        <f t="shared" si="0"/>
        <v>110886.1461083016</v>
      </c>
      <c r="E25" s="82">
        <f t="shared" si="6"/>
        <v>196324.42663670407</v>
      </c>
      <c r="F25" s="82">
        <f t="shared" si="5"/>
        <v>307210.57274500566</v>
      </c>
      <c r="G25" s="82">
        <f t="shared" si="3"/>
        <v>10892290.184193458</v>
      </c>
    </row>
    <row r="26" spans="1:9" ht="14.45" x14ac:dyDescent="0.35">
      <c r="A26" s="47"/>
      <c r="B26" s="47" t="s">
        <v>67</v>
      </c>
      <c r="C26" s="82">
        <f t="shared" si="4"/>
        <v>10892290.184193458</v>
      </c>
      <c r="D26" s="82">
        <f t="shared" si="0"/>
        <v>108922.90184193458</v>
      </c>
      <c r="E26" s="82">
        <f t="shared" si="6"/>
        <v>198287.67090307106</v>
      </c>
      <c r="F26" s="82">
        <f t="shared" si="5"/>
        <v>307210.57274500566</v>
      </c>
      <c r="G26" s="82">
        <f t="shared" si="3"/>
        <v>10694002.513290387</v>
      </c>
    </row>
    <row r="27" spans="1:9" x14ac:dyDescent="0.25">
      <c r="A27" s="47"/>
      <c r="B27" s="47" t="s">
        <v>68</v>
      </c>
      <c r="C27" s="82">
        <f t="shared" si="4"/>
        <v>10694002.513290387</v>
      </c>
      <c r="D27" s="82">
        <f t="shared" si="0"/>
        <v>106940.02513290387</v>
      </c>
      <c r="E27" s="82">
        <f t="shared" si="6"/>
        <v>200270.54761210177</v>
      </c>
      <c r="F27" s="82">
        <f t="shared" si="5"/>
        <v>307210.57274500566</v>
      </c>
      <c r="G27" s="82">
        <f t="shared" si="3"/>
        <v>10493731.965678286</v>
      </c>
    </row>
    <row r="28" spans="1:9" x14ac:dyDescent="0.25">
      <c r="A28" s="47"/>
      <c r="B28" s="47" t="s">
        <v>69</v>
      </c>
      <c r="C28" s="82">
        <f t="shared" si="4"/>
        <v>10493731.965678286</v>
      </c>
      <c r="D28" s="82">
        <f t="shared" si="0"/>
        <v>104937.31965678286</v>
      </c>
      <c r="E28" s="82">
        <f t="shared" si="6"/>
        <v>202273.25308822282</v>
      </c>
      <c r="F28" s="82">
        <f t="shared" si="5"/>
        <v>307210.57274500566</v>
      </c>
      <c r="G28" s="82">
        <f t="shared" si="3"/>
        <v>10291458.712590063</v>
      </c>
    </row>
    <row r="29" spans="1:9" x14ac:dyDescent="0.25">
      <c r="A29" s="47"/>
      <c r="B29" s="47" t="s">
        <v>70</v>
      </c>
      <c r="C29" s="82">
        <f t="shared" si="4"/>
        <v>10291458.712590063</v>
      </c>
      <c r="D29" s="82">
        <f t="shared" si="0"/>
        <v>102914.58712590062</v>
      </c>
      <c r="E29" s="82">
        <f t="shared" si="6"/>
        <v>204295.98561910505</v>
      </c>
      <c r="F29" s="82">
        <f t="shared" si="5"/>
        <v>307210.57274500566</v>
      </c>
      <c r="G29" s="82">
        <f t="shared" si="3"/>
        <v>10087162.726970958</v>
      </c>
    </row>
    <row r="30" spans="1:9" x14ac:dyDescent="0.25">
      <c r="A30" s="47"/>
      <c r="B30" s="47" t="s">
        <v>71</v>
      </c>
      <c r="C30" s="82">
        <f t="shared" si="4"/>
        <v>10087162.726970958</v>
      </c>
      <c r="D30" s="82">
        <f t="shared" si="0"/>
        <v>100871.62726970958</v>
      </c>
      <c r="E30" s="82">
        <f t="shared" si="6"/>
        <v>206338.94547529606</v>
      </c>
      <c r="F30" s="82">
        <f t="shared" si="5"/>
        <v>307210.57274500566</v>
      </c>
      <c r="G30" s="82">
        <f t="shared" si="3"/>
        <v>9880823.7814956624</v>
      </c>
    </row>
    <row r="31" spans="1:9" x14ac:dyDescent="0.25">
      <c r="A31" s="47"/>
      <c r="B31" s="47" t="s">
        <v>72</v>
      </c>
      <c r="C31" s="82">
        <f t="shared" si="4"/>
        <v>9880823.7814956624</v>
      </c>
      <c r="D31" s="82">
        <f t="shared" si="0"/>
        <v>98808.237814956621</v>
      </c>
      <c r="E31" s="82">
        <f t="shared" si="6"/>
        <v>208402.33493004902</v>
      </c>
      <c r="F31" s="82">
        <f t="shared" si="5"/>
        <v>307210.57274500566</v>
      </c>
      <c r="G31" s="82">
        <f t="shared" si="3"/>
        <v>9672421.4465656132</v>
      </c>
    </row>
    <row r="32" spans="1:9" x14ac:dyDescent="0.25">
      <c r="A32" s="47"/>
      <c r="B32" s="47" t="s">
        <v>73</v>
      </c>
      <c r="C32" s="82">
        <f t="shared" si="4"/>
        <v>9672421.4465656132</v>
      </c>
      <c r="D32" s="82">
        <f t="shared" si="0"/>
        <v>96724.214465656129</v>
      </c>
      <c r="E32" s="82">
        <f t="shared" si="6"/>
        <v>210486.35827934952</v>
      </c>
      <c r="F32" s="82">
        <f t="shared" si="5"/>
        <v>307210.57274500566</v>
      </c>
      <c r="G32" s="82">
        <f t="shared" si="3"/>
        <v>9461935.0882862639</v>
      </c>
    </row>
    <row r="33" spans="1:9" x14ac:dyDescent="0.25">
      <c r="A33" s="47"/>
      <c r="B33" s="47" t="s">
        <v>74</v>
      </c>
      <c r="C33" s="82">
        <f t="shared" si="4"/>
        <v>9461935.0882862639</v>
      </c>
      <c r="D33" s="82">
        <f t="shared" si="0"/>
        <v>94619.350882862636</v>
      </c>
      <c r="E33" s="82">
        <f t="shared" si="6"/>
        <v>212591.22186214302</v>
      </c>
      <c r="F33" s="82">
        <f t="shared" si="5"/>
        <v>307210.57274500566</v>
      </c>
      <c r="G33" s="82">
        <f t="shared" si="3"/>
        <v>9249343.866424121</v>
      </c>
      <c r="H33" s="192"/>
      <c r="I33" s="192"/>
    </row>
    <row r="34" spans="1:9" x14ac:dyDescent="0.25">
      <c r="A34" s="47" t="s">
        <v>13</v>
      </c>
      <c r="B34" s="47" t="s">
        <v>75</v>
      </c>
      <c r="C34" s="82">
        <f t="shared" si="4"/>
        <v>9249343.866424121</v>
      </c>
      <c r="D34" s="82">
        <f t="shared" si="0"/>
        <v>92493.438664241214</v>
      </c>
      <c r="E34" s="82">
        <f t="shared" si="6"/>
        <v>214717.13408076443</v>
      </c>
      <c r="F34" s="82">
        <f t="shared" si="5"/>
        <v>307210.57274500566</v>
      </c>
      <c r="G34" s="82">
        <f t="shared" si="3"/>
        <v>9034626.7323433571</v>
      </c>
    </row>
    <row r="35" spans="1:9" x14ac:dyDescent="0.25">
      <c r="A35" s="47"/>
      <c r="B35" s="47" t="s">
        <v>76</v>
      </c>
      <c r="C35" s="82">
        <f t="shared" si="4"/>
        <v>9034626.7323433571</v>
      </c>
      <c r="D35" s="82">
        <f t="shared" si="0"/>
        <v>90346.267323433582</v>
      </c>
      <c r="E35" s="82">
        <f t="shared" si="6"/>
        <v>216864.30542157206</v>
      </c>
      <c r="F35" s="82">
        <f t="shared" si="5"/>
        <v>307210.57274500566</v>
      </c>
      <c r="G35" s="82">
        <f t="shared" si="3"/>
        <v>8817762.4269217849</v>
      </c>
    </row>
    <row r="36" spans="1:9" x14ac:dyDescent="0.25">
      <c r="A36" s="47"/>
      <c r="B36" s="47" t="s">
        <v>77</v>
      </c>
      <c r="C36" s="82">
        <f t="shared" si="4"/>
        <v>8817762.4269217849</v>
      </c>
      <c r="D36" s="82">
        <f t="shared" si="0"/>
        <v>88177.624269217849</v>
      </c>
      <c r="E36" s="82">
        <f t="shared" si="6"/>
        <v>219032.94847578782</v>
      </c>
      <c r="F36" s="82">
        <f t="shared" si="5"/>
        <v>307210.57274500566</v>
      </c>
      <c r="G36" s="82">
        <f t="shared" si="3"/>
        <v>8598729.4784459975</v>
      </c>
    </row>
    <row r="37" spans="1:9" x14ac:dyDescent="0.25">
      <c r="A37" s="47"/>
      <c r="B37" s="47" t="s">
        <v>78</v>
      </c>
      <c r="C37" s="82">
        <f t="shared" si="4"/>
        <v>8598729.4784459975</v>
      </c>
      <c r="D37" s="82">
        <f t="shared" si="0"/>
        <v>85987.294784459969</v>
      </c>
      <c r="E37" s="82">
        <f t="shared" si="6"/>
        <v>221223.27796054567</v>
      </c>
      <c r="F37" s="82">
        <f t="shared" si="5"/>
        <v>307210.57274500566</v>
      </c>
      <c r="G37" s="82">
        <f t="shared" si="3"/>
        <v>8377506.2004854521</v>
      </c>
    </row>
    <row r="38" spans="1:9" x14ac:dyDescent="0.25">
      <c r="A38" s="47"/>
      <c r="B38" s="47" t="s">
        <v>79</v>
      </c>
      <c r="C38" s="82">
        <f t="shared" si="4"/>
        <v>8377506.2004854521</v>
      </c>
      <c r="D38" s="82">
        <f t="shared" si="0"/>
        <v>83775.06200485451</v>
      </c>
      <c r="E38" s="82">
        <f t="shared" si="6"/>
        <v>223435.51074015116</v>
      </c>
      <c r="F38" s="82">
        <f t="shared" si="5"/>
        <v>307210.57274500566</v>
      </c>
      <c r="G38" s="82">
        <f t="shared" si="3"/>
        <v>8154070.6897453014</v>
      </c>
    </row>
    <row r="39" spans="1:9" x14ac:dyDescent="0.25">
      <c r="A39" s="47"/>
      <c r="B39" s="47" t="s">
        <v>80</v>
      </c>
      <c r="C39" s="82">
        <f t="shared" si="4"/>
        <v>8154070.6897453014</v>
      </c>
      <c r="D39" s="82">
        <f t="shared" si="0"/>
        <v>81540.706897453012</v>
      </c>
      <c r="E39" s="82">
        <f t="shared" si="6"/>
        <v>225669.86584755266</v>
      </c>
      <c r="F39" s="82">
        <f t="shared" si="5"/>
        <v>307210.57274500566</v>
      </c>
      <c r="G39" s="82">
        <f t="shared" si="3"/>
        <v>7928400.8238977492</v>
      </c>
    </row>
    <row r="40" spans="1:9" x14ac:dyDescent="0.25">
      <c r="A40" s="47"/>
      <c r="B40" s="47" t="s">
        <v>81</v>
      </c>
      <c r="C40" s="82">
        <f t="shared" si="4"/>
        <v>7928400.8238977492</v>
      </c>
      <c r="D40" s="82">
        <f t="shared" si="0"/>
        <v>79284.008238977491</v>
      </c>
      <c r="E40" s="82">
        <f t="shared" si="6"/>
        <v>227926.56450602817</v>
      </c>
      <c r="F40" s="82">
        <f t="shared" si="5"/>
        <v>307210.57274500566</v>
      </c>
      <c r="G40" s="82">
        <f t="shared" si="3"/>
        <v>7700474.2593917213</v>
      </c>
    </row>
    <row r="41" spans="1:9" x14ac:dyDescent="0.25">
      <c r="A41" s="47"/>
      <c r="B41" s="47" t="s">
        <v>82</v>
      </c>
      <c r="C41" s="82">
        <f t="shared" si="4"/>
        <v>7700474.2593917213</v>
      </c>
      <c r="D41" s="82">
        <f t="shared" si="0"/>
        <v>77004.74259391721</v>
      </c>
      <c r="E41" s="82">
        <f t="shared" si="6"/>
        <v>230205.83015108845</v>
      </c>
      <c r="F41" s="82">
        <f t="shared" si="5"/>
        <v>307210.57274500566</v>
      </c>
      <c r="G41" s="82">
        <f t="shared" si="3"/>
        <v>7470268.4292406328</v>
      </c>
    </row>
    <row r="42" spans="1:9" x14ac:dyDescent="0.25">
      <c r="A42" s="47"/>
      <c r="B42" s="47" t="s">
        <v>83</v>
      </c>
      <c r="C42" s="82">
        <f t="shared" si="4"/>
        <v>7470268.4292406328</v>
      </c>
      <c r="D42" s="82">
        <f t="shared" ref="D42:D73" si="7">C42*$D$5/12</f>
        <v>74702.684292406324</v>
      </c>
      <c r="E42" s="82">
        <f t="shared" si="6"/>
        <v>232507.88845259935</v>
      </c>
      <c r="F42" s="82">
        <f t="shared" si="5"/>
        <v>307210.57274500566</v>
      </c>
      <c r="G42" s="82">
        <f t="shared" si="3"/>
        <v>7237760.540788033</v>
      </c>
    </row>
    <row r="43" spans="1:9" x14ac:dyDescent="0.25">
      <c r="A43" s="47"/>
      <c r="B43" s="47" t="s">
        <v>84</v>
      </c>
      <c r="C43" s="82">
        <f t="shared" si="4"/>
        <v>7237760.540788033</v>
      </c>
      <c r="D43" s="82">
        <f t="shared" si="7"/>
        <v>72377.605407880328</v>
      </c>
      <c r="E43" s="82">
        <f t="shared" si="6"/>
        <v>234832.96733712533</v>
      </c>
      <c r="F43" s="82">
        <f t="shared" si="5"/>
        <v>307210.57274500566</v>
      </c>
      <c r="G43" s="82">
        <f t="shared" si="3"/>
        <v>7002927.5734509081</v>
      </c>
    </row>
    <row r="44" spans="1:9" x14ac:dyDescent="0.25">
      <c r="A44" s="47"/>
      <c r="B44" s="47" t="s">
        <v>85</v>
      </c>
      <c r="C44" s="82">
        <f t="shared" si="4"/>
        <v>7002927.5734509081</v>
      </c>
      <c r="D44" s="82">
        <f t="shared" si="7"/>
        <v>70029.275734509079</v>
      </c>
      <c r="E44" s="82">
        <f t="shared" si="6"/>
        <v>237181.29701049658</v>
      </c>
      <c r="F44" s="82">
        <f t="shared" si="5"/>
        <v>307210.57274500566</v>
      </c>
      <c r="G44" s="82">
        <f t="shared" si="3"/>
        <v>6765746.2764404118</v>
      </c>
    </row>
    <row r="45" spans="1:9" x14ac:dyDescent="0.25">
      <c r="A45" s="47"/>
      <c r="B45" s="47" t="s">
        <v>86</v>
      </c>
      <c r="C45" s="82">
        <f t="shared" si="4"/>
        <v>6765746.2764404118</v>
      </c>
      <c r="D45" s="82">
        <f t="shared" si="7"/>
        <v>67657.462764404117</v>
      </c>
      <c r="E45" s="82">
        <f t="shared" si="6"/>
        <v>239553.10998060153</v>
      </c>
      <c r="F45" s="82">
        <f t="shared" si="5"/>
        <v>307210.57274500566</v>
      </c>
      <c r="G45" s="82">
        <f t="shared" si="3"/>
        <v>6526193.16645981</v>
      </c>
      <c r="H45" s="192"/>
      <c r="I45" s="192"/>
    </row>
    <row r="46" spans="1:9" x14ac:dyDescent="0.25">
      <c r="A46" s="47" t="s">
        <v>14</v>
      </c>
      <c r="B46" s="47" t="s">
        <v>87</v>
      </c>
      <c r="C46" s="82">
        <f t="shared" si="4"/>
        <v>6526193.16645981</v>
      </c>
      <c r="D46" s="82">
        <f t="shared" si="7"/>
        <v>65261.931664598094</v>
      </c>
      <c r="E46" s="82">
        <f t="shared" si="6"/>
        <v>241948.64108040757</v>
      </c>
      <c r="F46" s="82">
        <f t="shared" si="5"/>
        <v>307210.57274500566</v>
      </c>
      <c r="G46" s="82">
        <f t="shared" si="3"/>
        <v>6284244.5253794026</v>
      </c>
    </row>
    <row r="47" spans="1:9" x14ac:dyDescent="0.25">
      <c r="A47" s="47"/>
      <c r="B47" s="47" t="s">
        <v>88</v>
      </c>
      <c r="C47" s="82">
        <f t="shared" si="4"/>
        <v>6284244.5253794026</v>
      </c>
      <c r="D47" s="82">
        <f t="shared" si="7"/>
        <v>62842.445253794023</v>
      </c>
      <c r="E47" s="82">
        <f t="shared" si="6"/>
        <v>244368.12749121164</v>
      </c>
      <c r="F47" s="82">
        <f t="shared" si="5"/>
        <v>307210.57274500566</v>
      </c>
      <c r="G47" s="82">
        <f t="shared" si="3"/>
        <v>6039876.397888191</v>
      </c>
    </row>
    <row r="48" spans="1:9" x14ac:dyDescent="0.25">
      <c r="A48" s="47"/>
      <c r="B48" s="47" t="s">
        <v>89</v>
      </c>
      <c r="C48" s="82">
        <f t="shared" si="4"/>
        <v>6039876.397888191</v>
      </c>
      <c r="D48" s="82">
        <f t="shared" si="7"/>
        <v>60398.763978881907</v>
      </c>
      <c r="E48" s="82">
        <f t="shared" si="6"/>
        <v>246811.80876612375</v>
      </c>
      <c r="F48" s="82">
        <f t="shared" si="5"/>
        <v>307210.57274500566</v>
      </c>
      <c r="G48" s="82">
        <f t="shared" si="3"/>
        <v>5793064.5891220672</v>
      </c>
    </row>
    <row r="49" spans="1:9" x14ac:dyDescent="0.25">
      <c r="A49" s="47"/>
      <c r="B49" s="47" t="s">
        <v>90</v>
      </c>
      <c r="C49" s="82">
        <f t="shared" si="4"/>
        <v>5793064.5891220672</v>
      </c>
      <c r="D49" s="82">
        <f t="shared" si="7"/>
        <v>57930.645891220665</v>
      </c>
      <c r="E49" s="82">
        <f t="shared" si="6"/>
        <v>249279.926853785</v>
      </c>
      <c r="F49" s="82">
        <f t="shared" si="5"/>
        <v>307210.57274500566</v>
      </c>
      <c r="G49" s="82">
        <f t="shared" si="3"/>
        <v>5543784.6622682819</v>
      </c>
    </row>
    <row r="50" spans="1:9" x14ac:dyDescent="0.25">
      <c r="A50" s="47"/>
      <c r="B50" s="47" t="s">
        <v>91</v>
      </c>
      <c r="C50" s="82">
        <f t="shared" si="4"/>
        <v>5543784.6622682819</v>
      </c>
      <c r="D50" s="82">
        <f t="shared" si="7"/>
        <v>55437.846622682817</v>
      </c>
      <c r="E50" s="82">
        <f t="shared" si="6"/>
        <v>251772.72612232284</v>
      </c>
      <c r="F50" s="82">
        <f t="shared" si="5"/>
        <v>307210.57274500566</v>
      </c>
      <c r="G50" s="82">
        <f t="shared" si="3"/>
        <v>5292011.9361459594</v>
      </c>
    </row>
    <row r="51" spans="1:9" x14ac:dyDescent="0.25">
      <c r="A51" s="47"/>
      <c r="B51" s="47" t="s">
        <v>92</v>
      </c>
      <c r="C51" s="82">
        <f t="shared" si="4"/>
        <v>5292011.9361459594</v>
      </c>
      <c r="D51" s="82">
        <f t="shared" si="7"/>
        <v>52920.11936145959</v>
      </c>
      <c r="E51" s="82">
        <f t="shared" si="6"/>
        <v>254290.45338354606</v>
      </c>
      <c r="F51" s="82">
        <f t="shared" si="5"/>
        <v>307210.57274500566</v>
      </c>
      <c r="G51" s="82">
        <f t="shared" si="3"/>
        <v>5037721.4827624131</v>
      </c>
    </row>
    <row r="52" spans="1:9" x14ac:dyDescent="0.25">
      <c r="A52" s="47"/>
      <c r="B52" s="47" t="s">
        <v>93</v>
      </c>
      <c r="C52" s="82">
        <f t="shared" si="4"/>
        <v>5037721.4827624131</v>
      </c>
      <c r="D52" s="82">
        <f t="shared" si="7"/>
        <v>50377.214827624128</v>
      </c>
      <c r="E52" s="82">
        <f t="shared" si="6"/>
        <v>256833.35791738154</v>
      </c>
      <c r="F52" s="82">
        <f t="shared" si="5"/>
        <v>307210.57274500566</v>
      </c>
      <c r="G52" s="82">
        <f t="shared" si="3"/>
        <v>4780888.1248450316</v>
      </c>
    </row>
    <row r="53" spans="1:9" x14ac:dyDescent="0.25">
      <c r="A53" s="47"/>
      <c r="B53" s="47" t="s">
        <v>94</v>
      </c>
      <c r="C53" s="82">
        <f t="shared" si="4"/>
        <v>4780888.1248450316</v>
      </c>
      <c r="D53" s="82">
        <f t="shared" si="7"/>
        <v>47808.881248450314</v>
      </c>
      <c r="E53" s="82">
        <f t="shared" si="6"/>
        <v>259401.69149655534</v>
      </c>
      <c r="F53" s="82">
        <f t="shared" si="5"/>
        <v>307210.57274500566</v>
      </c>
      <c r="G53" s="82">
        <f t="shared" si="3"/>
        <v>4521486.433348476</v>
      </c>
    </row>
    <row r="54" spans="1:9" x14ac:dyDescent="0.25">
      <c r="A54" s="47"/>
      <c r="B54" s="47" t="s">
        <v>95</v>
      </c>
      <c r="C54" s="82">
        <f t="shared" si="4"/>
        <v>4521486.433348476</v>
      </c>
      <c r="D54" s="82">
        <f t="shared" si="7"/>
        <v>45214.864333484758</v>
      </c>
      <c r="E54" s="82">
        <f t="shared" si="6"/>
        <v>261995.7084115209</v>
      </c>
      <c r="F54" s="82">
        <f t="shared" si="5"/>
        <v>307210.57274500566</v>
      </c>
      <c r="G54" s="82">
        <f t="shared" si="3"/>
        <v>4259490.7249369547</v>
      </c>
    </row>
    <row r="55" spans="1:9" x14ac:dyDescent="0.25">
      <c r="A55" s="47"/>
      <c r="B55" s="47" t="s">
        <v>96</v>
      </c>
      <c r="C55" s="82">
        <f t="shared" si="4"/>
        <v>4259490.7249369547</v>
      </c>
      <c r="D55" s="82">
        <f t="shared" si="7"/>
        <v>42594.907249369549</v>
      </c>
      <c r="E55" s="82">
        <f t="shared" si="6"/>
        <v>264615.66549563612</v>
      </c>
      <c r="F55" s="82">
        <f t="shared" si="5"/>
        <v>307210.57274500566</v>
      </c>
      <c r="G55" s="82">
        <f t="shared" si="3"/>
        <v>3994875.0594413187</v>
      </c>
    </row>
    <row r="56" spans="1:9" x14ac:dyDescent="0.25">
      <c r="A56" s="47"/>
      <c r="B56" s="47" t="s">
        <v>97</v>
      </c>
      <c r="C56" s="82">
        <f t="shared" si="4"/>
        <v>3994875.0594413187</v>
      </c>
      <c r="D56" s="82">
        <f t="shared" si="7"/>
        <v>39948.750594413184</v>
      </c>
      <c r="E56" s="82">
        <f t="shared" si="6"/>
        <v>267261.82215059246</v>
      </c>
      <c r="F56" s="82">
        <f t="shared" si="5"/>
        <v>307210.57274500566</v>
      </c>
      <c r="G56" s="82">
        <f t="shared" si="3"/>
        <v>3727613.237290726</v>
      </c>
    </row>
    <row r="57" spans="1:9" x14ac:dyDescent="0.25">
      <c r="A57" s="47"/>
      <c r="B57" s="47" t="s">
        <v>98</v>
      </c>
      <c r="C57" s="82">
        <f t="shared" si="4"/>
        <v>3727613.237290726</v>
      </c>
      <c r="D57" s="82">
        <f t="shared" si="7"/>
        <v>37276.132372907261</v>
      </c>
      <c r="E57" s="82">
        <f t="shared" si="6"/>
        <v>269934.44037209841</v>
      </c>
      <c r="F57" s="82">
        <f t="shared" si="5"/>
        <v>307210.57274500566</v>
      </c>
      <c r="G57" s="82">
        <f t="shared" si="3"/>
        <v>3457678.7969186278</v>
      </c>
      <c r="H57" s="192"/>
      <c r="I57" s="192"/>
    </row>
    <row r="58" spans="1:9" x14ac:dyDescent="0.25">
      <c r="A58" s="47" t="s">
        <v>15</v>
      </c>
      <c r="B58" s="47" t="s">
        <v>99</v>
      </c>
      <c r="C58" s="82">
        <f t="shared" si="4"/>
        <v>3457678.7969186278</v>
      </c>
      <c r="D58" s="82">
        <f t="shared" si="7"/>
        <v>34576.787969186276</v>
      </c>
      <c r="E58" s="82">
        <f t="shared" si="6"/>
        <v>272633.7847758194</v>
      </c>
      <c r="F58" s="82">
        <f t="shared" si="5"/>
        <v>307210.57274500566</v>
      </c>
      <c r="G58" s="82">
        <f t="shared" si="3"/>
        <v>3185045.0121428082</v>
      </c>
    </row>
    <row r="59" spans="1:9" x14ac:dyDescent="0.25">
      <c r="A59" s="47"/>
      <c r="B59" s="47" t="s">
        <v>100</v>
      </c>
      <c r="C59" s="82">
        <f t="shared" si="4"/>
        <v>3185045.0121428082</v>
      </c>
      <c r="D59" s="82">
        <f t="shared" si="7"/>
        <v>31850.450121428079</v>
      </c>
      <c r="E59" s="82">
        <f t="shared" si="6"/>
        <v>275360.1226235776</v>
      </c>
      <c r="F59" s="82">
        <f t="shared" si="5"/>
        <v>307210.57274500566</v>
      </c>
      <c r="G59" s="82">
        <f t="shared" si="3"/>
        <v>2909684.8895192305</v>
      </c>
    </row>
    <row r="60" spans="1:9" x14ac:dyDescent="0.25">
      <c r="A60" s="47"/>
      <c r="B60" s="47" t="s">
        <v>101</v>
      </c>
      <c r="C60" s="82">
        <f t="shared" si="4"/>
        <v>2909684.8895192305</v>
      </c>
      <c r="D60" s="82">
        <f t="shared" si="7"/>
        <v>29096.848895192303</v>
      </c>
      <c r="E60" s="82">
        <f t="shared" si="6"/>
        <v>278113.72384981334</v>
      </c>
      <c r="F60" s="82">
        <f t="shared" si="5"/>
        <v>307210.57274500566</v>
      </c>
      <c r="G60" s="82">
        <f t="shared" si="3"/>
        <v>2631571.165669417</v>
      </c>
    </row>
    <row r="61" spans="1:9" x14ac:dyDescent="0.25">
      <c r="A61" s="47"/>
      <c r="B61" s="47" t="s">
        <v>102</v>
      </c>
      <c r="C61" s="82">
        <f t="shared" si="4"/>
        <v>2631571.165669417</v>
      </c>
      <c r="D61" s="82">
        <f t="shared" si="7"/>
        <v>26315.71165669417</v>
      </c>
      <c r="E61" s="82">
        <f t="shared" si="6"/>
        <v>280894.86108831147</v>
      </c>
      <c r="F61" s="82">
        <f t="shared" si="5"/>
        <v>307210.57274500566</v>
      </c>
      <c r="G61" s="82">
        <f t="shared" si="3"/>
        <v>2350676.3045811057</v>
      </c>
    </row>
    <row r="62" spans="1:9" x14ac:dyDescent="0.25">
      <c r="A62" s="47"/>
      <c r="B62" s="47" t="s">
        <v>103</v>
      </c>
      <c r="C62" s="82">
        <f t="shared" si="4"/>
        <v>2350676.3045811057</v>
      </c>
      <c r="D62" s="82">
        <f t="shared" si="7"/>
        <v>23506.763045811054</v>
      </c>
      <c r="E62" s="82">
        <f t="shared" si="6"/>
        <v>283703.80969919462</v>
      </c>
      <c r="F62" s="82">
        <f t="shared" si="5"/>
        <v>307210.57274500566</v>
      </c>
      <c r="G62" s="82">
        <f t="shared" si="3"/>
        <v>2066972.4948819112</v>
      </c>
    </row>
    <row r="63" spans="1:9" x14ac:dyDescent="0.25">
      <c r="A63" s="47"/>
      <c r="B63" s="47" t="s">
        <v>104</v>
      </c>
      <c r="C63" s="82">
        <f t="shared" si="4"/>
        <v>2066972.4948819112</v>
      </c>
      <c r="D63" s="82">
        <f t="shared" si="7"/>
        <v>20669.724948819112</v>
      </c>
      <c r="E63" s="82">
        <f t="shared" si="6"/>
        <v>286540.84779618657</v>
      </c>
      <c r="F63" s="82">
        <f t="shared" si="5"/>
        <v>307210.57274500566</v>
      </c>
      <c r="G63" s="82">
        <f t="shared" si="3"/>
        <v>1780431.6470857246</v>
      </c>
    </row>
    <row r="64" spans="1:9" x14ac:dyDescent="0.25">
      <c r="A64" s="47"/>
      <c r="B64" s="47" t="s">
        <v>105</v>
      </c>
      <c r="C64" s="82">
        <f t="shared" si="4"/>
        <v>1780431.6470857246</v>
      </c>
      <c r="D64" s="82">
        <f t="shared" si="7"/>
        <v>17804.316470857248</v>
      </c>
      <c r="E64" s="82">
        <f t="shared" si="6"/>
        <v>289406.25627414841</v>
      </c>
      <c r="F64" s="82">
        <f t="shared" si="5"/>
        <v>307210.57274500566</v>
      </c>
      <c r="G64" s="82">
        <f t="shared" si="3"/>
        <v>1491025.3908115763</v>
      </c>
    </row>
    <row r="65" spans="1:9" x14ac:dyDescent="0.25">
      <c r="A65" s="47"/>
      <c r="B65" s="47" t="s">
        <v>106</v>
      </c>
      <c r="C65" s="82">
        <f t="shared" si="4"/>
        <v>1491025.3908115763</v>
      </c>
      <c r="D65" s="82">
        <f t="shared" si="7"/>
        <v>14910.253908115761</v>
      </c>
      <c r="E65" s="82">
        <f t="shared" si="6"/>
        <v>292300.31883688987</v>
      </c>
      <c r="F65" s="82">
        <f t="shared" si="5"/>
        <v>307210.57274500566</v>
      </c>
      <c r="G65" s="82">
        <f t="shared" si="3"/>
        <v>1198725.0719746863</v>
      </c>
    </row>
    <row r="66" spans="1:9" x14ac:dyDescent="0.25">
      <c r="A66" s="47"/>
      <c r="B66" s="47" t="s">
        <v>107</v>
      </c>
      <c r="C66" s="82">
        <f t="shared" si="4"/>
        <v>1198725.0719746863</v>
      </c>
      <c r="D66" s="82">
        <f t="shared" si="7"/>
        <v>11987.250719746864</v>
      </c>
      <c r="E66" s="82">
        <f t="shared" si="6"/>
        <v>295223.32202525879</v>
      </c>
      <c r="F66" s="82">
        <f t="shared" si="5"/>
        <v>307210.57274500566</v>
      </c>
      <c r="G66" s="82">
        <f t="shared" si="3"/>
        <v>903501.74994942755</v>
      </c>
    </row>
    <row r="67" spans="1:9" x14ac:dyDescent="0.25">
      <c r="A67" s="47"/>
      <c r="B67" s="47" t="s">
        <v>108</v>
      </c>
      <c r="C67" s="82">
        <f t="shared" si="4"/>
        <v>903501.74994942755</v>
      </c>
      <c r="D67" s="82">
        <f t="shared" si="7"/>
        <v>9035.0174994942754</v>
      </c>
      <c r="E67" s="82">
        <f t="shared" si="6"/>
        <v>298175.55524551141</v>
      </c>
      <c r="F67" s="82">
        <f t="shared" si="5"/>
        <v>307210.57274500566</v>
      </c>
      <c r="G67" s="82">
        <f t="shared" si="3"/>
        <v>605326.19470391609</v>
      </c>
    </row>
    <row r="68" spans="1:9" x14ac:dyDescent="0.25">
      <c r="A68" s="47"/>
      <c r="B68" s="47" t="s">
        <v>109</v>
      </c>
      <c r="C68" s="82">
        <f t="shared" si="4"/>
        <v>605326.19470391609</v>
      </c>
      <c r="D68" s="82">
        <f t="shared" si="7"/>
        <v>6053.261947039161</v>
      </c>
      <c r="E68" s="82">
        <f t="shared" si="6"/>
        <v>301157.31079796649</v>
      </c>
      <c r="F68" s="82">
        <f t="shared" si="5"/>
        <v>307210.57274500566</v>
      </c>
      <c r="G68" s="82">
        <f t="shared" si="3"/>
        <v>304168.88390594959</v>
      </c>
    </row>
    <row r="69" spans="1:9" x14ac:dyDescent="0.25">
      <c r="A69" s="47"/>
      <c r="B69" s="47" t="s">
        <v>110</v>
      </c>
      <c r="C69" s="82">
        <f t="shared" si="4"/>
        <v>304168.88390594959</v>
      </c>
      <c r="D69" s="82">
        <f t="shared" si="7"/>
        <v>3041.6888390594959</v>
      </c>
      <c r="E69" s="82">
        <f t="shared" si="6"/>
        <v>304168.88390594616</v>
      </c>
      <c r="F69" s="82">
        <f t="shared" si="5"/>
        <v>307210.57274500566</v>
      </c>
      <c r="G69" s="82">
        <f t="shared" si="3"/>
        <v>3.434251993894577E-9</v>
      </c>
      <c r="H69" s="192"/>
      <c r="I69" s="192"/>
    </row>
    <row r="70" spans="1:9" x14ac:dyDescent="0.25">
      <c r="A70" s="47" t="s">
        <v>16</v>
      </c>
      <c r="B70" s="47" t="s">
        <v>111</v>
      </c>
      <c r="C70" s="82">
        <f t="shared" si="4"/>
        <v>3.434251993894577E-9</v>
      </c>
      <c r="D70" s="82">
        <f t="shared" si="7"/>
        <v>3.4342519938945768E-11</v>
      </c>
      <c r="E70" s="82">
        <f t="shared" si="6"/>
        <v>-3.4342519938945768E-11</v>
      </c>
      <c r="F70" s="82"/>
      <c r="G70" s="82">
        <f t="shared" si="3"/>
        <v>3.468594513833523E-9</v>
      </c>
    </row>
    <row r="71" spans="1:9" x14ac:dyDescent="0.25">
      <c r="A71" s="47"/>
      <c r="B71" s="47" t="s">
        <v>112</v>
      </c>
      <c r="C71" s="82">
        <f t="shared" si="4"/>
        <v>3.468594513833523E-9</v>
      </c>
      <c r="D71" s="82">
        <f t="shared" si="7"/>
        <v>3.4685945138335227E-11</v>
      </c>
      <c r="E71" s="82">
        <f t="shared" si="6"/>
        <v>-3.4685945138335227E-11</v>
      </c>
      <c r="F71" s="82"/>
      <c r="G71" s="82">
        <f t="shared" si="3"/>
        <v>3.5032804589718582E-9</v>
      </c>
    </row>
    <row r="72" spans="1:9" x14ac:dyDescent="0.25">
      <c r="A72" s="47"/>
      <c r="B72" s="47" t="s">
        <v>113</v>
      </c>
      <c r="C72" s="82">
        <f t="shared" si="4"/>
        <v>3.5032804589718582E-9</v>
      </c>
      <c r="D72" s="82">
        <f t="shared" si="7"/>
        <v>3.5032804589718582E-11</v>
      </c>
      <c r="E72" s="82">
        <f t="shared" si="6"/>
        <v>-3.5032804589718582E-11</v>
      </c>
      <c r="F72" s="82"/>
      <c r="G72" s="82">
        <f t="shared" si="3"/>
        <v>3.5383132635615767E-9</v>
      </c>
    </row>
    <row r="73" spans="1:9" x14ac:dyDescent="0.25">
      <c r="A73" s="47"/>
      <c r="B73" s="47" t="s">
        <v>114</v>
      </c>
      <c r="C73" s="82">
        <f t="shared" si="4"/>
        <v>3.5383132635615767E-9</v>
      </c>
      <c r="D73" s="82">
        <f t="shared" si="7"/>
        <v>3.5383132635615764E-11</v>
      </c>
      <c r="E73" s="82">
        <f t="shared" si="6"/>
        <v>-3.5383132635615764E-11</v>
      </c>
      <c r="F73" s="82"/>
      <c r="G73" s="82">
        <f t="shared" si="3"/>
        <v>3.5736963961971925E-9</v>
      </c>
    </row>
    <row r="74" spans="1:9" x14ac:dyDescent="0.25">
      <c r="A74" s="47"/>
      <c r="B74" s="47" t="s">
        <v>115</v>
      </c>
      <c r="C74" s="82">
        <f t="shared" si="4"/>
        <v>3.5736963961971925E-9</v>
      </c>
      <c r="D74" s="82">
        <f t="shared" ref="D74:D93" si="8">C74*$D$5/12</f>
        <v>3.5736963961971925E-11</v>
      </c>
      <c r="E74" s="82">
        <f t="shared" si="6"/>
        <v>-3.5736963961971925E-11</v>
      </c>
      <c r="F74" s="82"/>
      <c r="G74" s="82">
        <f t="shared" si="3"/>
        <v>3.6094333601591645E-9</v>
      </c>
    </row>
    <row r="75" spans="1:9" x14ac:dyDescent="0.25">
      <c r="A75" s="47"/>
      <c r="B75" s="47" t="s">
        <v>116</v>
      </c>
      <c r="C75" s="82">
        <f t="shared" si="4"/>
        <v>3.6094333601591645E-9</v>
      </c>
      <c r="D75" s="82">
        <f t="shared" si="8"/>
        <v>3.609433360159164E-11</v>
      </c>
      <c r="E75" s="82">
        <f t="shared" si="6"/>
        <v>-3.609433360159164E-11</v>
      </c>
      <c r="F75" s="82"/>
      <c r="G75" s="82">
        <f t="shared" ref="G75:G93" si="9">C75-E75</f>
        <v>3.6455276937607562E-9</v>
      </c>
    </row>
    <row r="76" spans="1:9" x14ac:dyDescent="0.25">
      <c r="A76" s="47"/>
      <c r="B76" s="47" t="s">
        <v>117</v>
      </c>
      <c r="C76" s="82">
        <f t="shared" ref="C76:C93" si="10">G75</f>
        <v>3.6455276937607562E-9</v>
      </c>
      <c r="D76" s="82">
        <f t="shared" si="8"/>
        <v>3.645527693760756E-11</v>
      </c>
      <c r="E76" s="82">
        <f t="shared" si="6"/>
        <v>-3.645527693760756E-11</v>
      </c>
      <c r="F76" s="82"/>
      <c r="G76" s="82">
        <f t="shared" si="9"/>
        <v>3.6819829706983637E-9</v>
      </c>
    </row>
    <row r="77" spans="1:9" x14ac:dyDescent="0.25">
      <c r="A77" s="47"/>
      <c r="B77" s="47" t="s">
        <v>118</v>
      </c>
      <c r="C77" s="82">
        <f t="shared" si="10"/>
        <v>3.6819829706983637E-9</v>
      </c>
      <c r="D77" s="82">
        <f t="shared" si="8"/>
        <v>3.6819829706983638E-11</v>
      </c>
      <c r="E77" s="82">
        <f t="shared" si="6"/>
        <v>-3.6819829706983638E-11</v>
      </c>
      <c r="F77" s="82"/>
      <c r="G77" s="82">
        <f t="shared" si="9"/>
        <v>3.7188028004053475E-9</v>
      </c>
    </row>
    <row r="78" spans="1:9" x14ac:dyDescent="0.25">
      <c r="A78" s="47"/>
      <c r="B78" s="47" t="s">
        <v>119</v>
      </c>
      <c r="C78" s="82">
        <f t="shared" si="10"/>
        <v>3.7188028004053475E-9</v>
      </c>
      <c r="D78" s="82">
        <f t="shared" si="8"/>
        <v>3.7188028004053478E-11</v>
      </c>
      <c r="E78" s="82">
        <f t="shared" si="6"/>
        <v>-3.7188028004053478E-11</v>
      </c>
      <c r="F78" s="82"/>
      <c r="G78" s="82">
        <f t="shared" si="9"/>
        <v>3.7559908284094009E-9</v>
      </c>
    </row>
    <row r="79" spans="1:9" x14ac:dyDescent="0.25">
      <c r="A79" s="47"/>
      <c r="B79" s="47" t="s">
        <v>120</v>
      </c>
      <c r="C79" s="82">
        <f t="shared" si="10"/>
        <v>3.7559908284094009E-9</v>
      </c>
      <c r="D79" s="82">
        <f t="shared" si="8"/>
        <v>3.7559908284094008E-11</v>
      </c>
      <c r="E79" s="82">
        <f t="shared" si="6"/>
        <v>-3.7559908284094008E-11</v>
      </c>
      <c r="F79" s="82"/>
      <c r="G79" s="82">
        <f t="shared" si="9"/>
        <v>3.7935507366934952E-9</v>
      </c>
    </row>
    <row r="80" spans="1:9" x14ac:dyDescent="0.25">
      <c r="A80" s="47"/>
      <c r="B80" s="47" t="s">
        <v>121</v>
      </c>
      <c r="C80" s="82">
        <f t="shared" si="10"/>
        <v>3.7935507366934952E-9</v>
      </c>
      <c r="D80" s="82">
        <f t="shared" si="8"/>
        <v>3.7935507366934953E-11</v>
      </c>
      <c r="E80" s="82">
        <f t="shared" si="6"/>
        <v>-3.7935507366934953E-11</v>
      </c>
      <c r="F80" s="82"/>
      <c r="G80" s="82">
        <f t="shared" si="9"/>
        <v>3.8314862440604305E-9</v>
      </c>
    </row>
    <row r="81" spans="1:9" x14ac:dyDescent="0.25">
      <c r="A81" s="47"/>
      <c r="B81" s="47" t="s">
        <v>122</v>
      </c>
      <c r="C81" s="82">
        <f t="shared" si="10"/>
        <v>3.8314862440604305E-9</v>
      </c>
      <c r="D81" s="82">
        <f t="shared" si="8"/>
        <v>3.8314862440604303E-11</v>
      </c>
      <c r="E81" s="82">
        <f t="shared" ref="E81:E93" si="11">F81-D81</f>
        <v>-3.8314862440604303E-11</v>
      </c>
      <c r="F81" s="82"/>
      <c r="G81" s="82">
        <f t="shared" si="9"/>
        <v>3.8698011065010345E-9</v>
      </c>
      <c r="H81" s="192"/>
      <c r="I81" s="192"/>
    </row>
    <row r="82" spans="1:9" x14ac:dyDescent="0.25">
      <c r="A82" s="47" t="s">
        <v>266</v>
      </c>
      <c r="B82" s="47" t="s">
        <v>201</v>
      </c>
      <c r="C82" s="82">
        <f t="shared" si="10"/>
        <v>3.8698011065010345E-9</v>
      </c>
      <c r="D82" s="82">
        <f t="shared" si="8"/>
        <v>3.8698011065010343E-11</v>
      </c>
      <c r="E82" s="82">
        <f t="shared" si="11"/>
        <v>-3.8698011065010343E-11</v>
      </c>
      <c r="F82" s="82"/>
      <c r="G82" s="82">
        <f t="shared" si="9"/>
        <v>3.9084991175660451E-9</v>
      </c>
    </row>
    <row r="83" spans="1:9" x14ac:dyDescent="0.25">
      <c r="A83" s="47"/>
      <c r="B83" s="47" t="s">
        <v>202</v>
      </c>
      <c r="C83" s="82">
        <f t="shared" si="10"/>
        <v>3.9084991175660451E-9</v>
      </c>
      <c r="D83" s="82">
        <f t="shared" si="8"/>
        <v>3.9084991175660444E-11</v>
      </c>
      <c r="E83" s="82">
        <f t="shared" si="11"/>
        <v>-3.9084991175660444E-11</v>
      </c>
      <c r="F83" s="82"/>
      <c r="G83" s="82">
        <f t="shared" si="9"/>
        <v>3.9475841087417057E-9</v>
      </c>
    </row>
    <row r="84" spans="1:9" x14ac:dyDescent="0.25">
      <c r="A84" s="47"/>
      <c r="B84" s="47" t="s">
        <v>203</v>
      </c>
      <c r="C84" s="82">
        <f t="shared" si="10"/>
        <v>3.9475841087417057E-9</v>
      </c>
      <c r="D84" s="82">
        <f t="shared" si="8"/>
        <v>3.947584108741706E-11</v>
      </c>
      <c r="E84" s="82">
        <f t="shared" si="11"/>
        <v>-3.947584108741706E-11</v>
      </c>
      <c r="F84" s="82"/>
      <c r="G84" s="82">
        <f t="shared" si="9"/>
        <v>3.9870599498291232E-9</v>
      </c>
    </row>
    <row r="85" spans="1:9" x14ac:dyDescent="0.25">
      <c r="A85" s="47"/>
      <c r="B85" s="47" t="s">
        <v>204</v>
      </c>
      <c r="C85" s="82">
        <f t="shared" si="10"/>
        <v>3.9870599498291232E-9</v>
      </c>
      <c r="D85" s="82">
        <f t="shared" si="8"/>
        <v>3.9870599498291226E-11</v>
      </c>
      <c r="E85" s="82">
        <f t="shared" si="11"/>
        <v>-3.9870599498291226E-11</v>
      </c>
      <c r="F85" s="82"/>
      <c r="G85" s="82">
        <f t="shared" si="9"/>
        <v>4.0269305493274141E-9</v>
      </c>
    </row>
    <row r="86" spans="1:9" x14ac:dyDescent="0.25">
      <c r="A86" s="47"/>
      <c r="B86" s="47" t="s">
        <v>205</v>
      </c>
      <c r="C86" s="82">
        <f t="shared" si="10"/>
        <v>4.0269305493274141E-9</v>
      </c>
      <c r="D86" s="82">
        <f t="shared" si="8"/>
        <v>4.0269305493274146E-11</v>
      </c>
      <c r="E86" s="82">
        <f t="shared" si="11"/>
        <v>-4.0269305493274146E-11</v>
      </c>
      <c r="F86" s="82"/>
      <c r="G86" s="82">
        <f t="shared" si="9"/>
        <v>4.067199854820688E-9</v>
      </c>
    </row>
    <row r="87" spans="1:9" x14ac:dyDescent="0.25">
      <c r="A87" s="47"/>
      <c r="B87" s="47" t="s">
        <v>206</v>
      </c>
      <c r="C87" s="82">
        <f t="shared" si="10"/>
        <v>4.067199854820688E-9</v>
      </c>
      <c r="D87" s="82">
        <f t="shared" si="8"/>
        <v>4.0671998548206878E-11</v>
      </c>
      <c r="E87" s="82">
        <f t="shared" si="11"/>
        <v>-4.0671998548206878E-11</v>
      </c>
      <c r="F87" s="82"/>
      <c r="G87" s="82">
        <f t="shared" si="9"/>
        <v>4.1078718533688948E-9</v>
      </c>
    </row>
    <row r="88" spans="1:9" x14ac:dyDescent="0.25">
      <c r="A88" s="47"/>
      <c r="B88" s="47" t="s">
        <v>207</v>
      </c>
      <c r="C88" s="82">
        <f t="shared" si="10"/>
        <v>4.1078718533688948E-9</v>
      </c>
      <c r="D88" s="82">
        <f t="shared" si="8"/>
        <v>4.1078718533688949E-11</v>
      </c>
      <c r="E88" s="82">
        <f t="shared" si="11"/>
        <v>-4.1078718533688949E-11</v>
      </c>
      <c r="F88" s="82"/>
      <c r="G88" s="82">
        <f t="shared" si="9"/>
        <v>4.1489505719025842E-9</v>
      </c>
    </row>
    <row r="89" spans="1:9" x14ac:dyDescent="0.25">
      <c r="A89" s="47"/>
      <c r="B89" s="47" t="s">
        <v>208</v>
      </c>
      <c r="C89" s="82">
        <f t="shared" si="10"/>
        <v>4.1489505719025842E-9</v>
      </c>
      <c r="D89" s="82">
        <f t="shared" si="8"/>
        <v>4.1489505719025838E-11</v>
      </c>
      <c r="E89" s="82">
        <f t="shared" si="11"/>
        <v>-4.1489505719025838E-11</v>
      </c>
      <c r="F89" s="82"/>
      <c r="G89" s="82">
        <f t="shared" si="9"/>
        <v>4.1904400776216099E-9</v>
      </c>
    </row>
    <row r="90" spans="1:9" x14ac:dyDescent="0.25">
      <c r="A90" s="47"/>
      <c r="B90" s="47" t="s">
        <v>209</v>
      </c>
      <c r="C90" s="82">
        <f t="shared" si="10"/>
        <v>4.1904400776216099E-9</v>
      </c>
      <c r="D90" s="82">
        <f t="shared" si="8"/>
        <v>4.1904400776216095E-11</v>
      </c>
      <c r="E90" s="82">
        <f t="shared" si="11"/>
        <v>-4.1904400776216095E-11</v>
      </c>
      <c r="F90" s="82"/>
      <c r="G90" s="82">
        <f t="shared" si="9"/>
        <v>4.232344478397826E-9</v>
      </c>
    </row>
    <row r="91" spans="1:9" x14ac:dyDescent="0.25">
      <c r="A91" s="47"/>
      <c r="B91" s="47" t="s">
        <v>210</v>
      </c>
      <c r="C91" s="82">
        <f t="shared" si="10"/>
        <v>4.232344478397826E-9</v>
      </c>
      <c r="D91" s="82">
        <f t="shared" si="8"/>
        <v>4.2323444783978255E-11</v>
      </c>
      <c r="E91" s="82">
        <f t="shared" si="11"/>
        <v>-4.2323444783978255E-11</v>
      </c>
      <c r="F91" s="82"/>
      <c r="G91" s="82">
        <f t="shared" si="9"/>
        <v>4.2746679231818039E-9</v>
      </c>
    </row>
    <row r="92" spans="1:9" x14ac:dyDescent="0.25">
      <c r="A92" s="47"/>
      <c r="B92" s="47" t="s">
        <v>211</v>
      </c>
      <c r="C92" s="82">
        <f t="shared" si="10"/>
        <v>4.2746679231818039E-9</v>
      </c>
      <c r="D92" s="82">
        <f t="shared" si="8"/>
        <v>4.2746679231818042E-11</v>
      </c>
      <c r="E92" s="82">
        <f t="shared" si="11"/>
        <v>-4.2746679231818042E-11</v>
      </c>
      <c r="F92" s="82"/>
      <c r="G92" s="82">
        <f t="shared" si="9"/>
        <v>4.3174146024136217E-9</v>
      </c>
    </row>
    <row r="93" spans="1:9" x14ac:dyDescent="0.25">
      <c r="A93" s="47"/>
      <c r="B93" s="47" t="s">
        <v>212</v>
      </c>
      <c r="C93" s="82">
        <f t="shared" si="10"/>
        <v>4.3174146024136217E-9</v>
      </c>
      <c r="D93" s="82">
        <f t="shared" si="8"/>
        <v>4.3174146024136219E-11</v>
      </c>
      <c r="E93" s="82">
        <f t="shared" si="11"/>
        <v>-4.3174146024136219E-11</v>
      </c>
      <c r="F93" s="82"/>
      <c r="G93" s="82">
        <f t="shared" si="9"/>
        <v>4.3605887484377583E-9</v>
      </c>
    </row>
    <row r="94" spans="1:9" x14ac:dyDescent="0.25">
      <c r="D94" s="192">
        <f>SUM(D10:D93)</f>
        <v>4585257.8142303079</v>
      </c>
      <c r="E94" s="192">
        <f>SUM(E10:E93)</f>
        <v>12770333.099999994</v>
      </c>
    </row>
    <row r="95" spans="1:9" ht="39.950000000000003" customHeight="1" x14ac:dyDescent="0.25">
      <c r="A95" s="438" t="s">
        <v>393</v>
      </c>
      <c r="B95" s="438"/>
      <c r="C95" s="438"/>
      <c r="D95" s="438"/>
      <c r="E95" s="438"/>
      <c r="F95" s="438"/>
      <c r="G95" s="438"/>
      <c r="H95" s="438"/>
    </row>
    <row r="96" spans="1:9" x14ac:dyDescent="0.25">
      <c r="A96" s="39" t="s">
        <v>491</v>
      </c>
    </row>
    <row r="97" spans="1:2" x14ac:dyDescent="0.25">
      <c r="A97" s="39">
        <v>1</v>
      </c>
      <c r="B97" s="39" t="s">
        <v>492</v>
      </c>
    </row>
    <row r="98" spans="1:2" x14ac:dyDescent="0.25">
      <c r="A98" s="39">
        <v>2</v>
      </c>
      <c r="B98" s="39" t="s">
        <v>493</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workbookViewId="0">
      <selection sqref="A1:XFD1048576"/>
    </sheetView>
  </sheetViews>
  <sheetFormatPr defaultColWidth="8.7109375" defaultRowHeight="15" x14ac:dyDescent="0.25"/>
  <cols>
    <col min="1" max="1" width="8.7109375" style="39"/>
    <col min="2" max="2" width="7.5703125" style="39" bestFit="1" customWidth="1"/>
    <col min="3" max="3" width="30.5703125" style="39" customWidth="1"/>
    <col min="4" max="4" width="16.85546875" style="39" bestFit="1" customWidth="1"/>
    <col min="5" max="5" width="15.85546875" style="39" customWidth="1"/>
    <col min="6" max="6" width="16" style="39" bestFit="1" customWidth="1"/>
    <col min="7" max="7" width="20.42578125" style="39" bestFit="1" customWidth="1"/>
    <col min="8" max="8" width="23.140625" style="39" bestFit="1" customWidth="1"/>
    <col min="9" max="9" width="26.85546875" style="39" bestFit="1" customWidth="1"/>
    <col min="10" max="10" width="29.42578125" style="39" bestFit="1" customWidth="1"/>
    <col min="11" max="11" width="32.140625" style="39" bestFit="1" customWidth="1"/>
    <col min="12" max="13" width="8.7109375" style="39"/>
    <col min="14" max="14" width="24" style="39" hidden="1" customWidth="1"/>
    <col min="15" max="15" width="11.85546875" style="39" hidden="1" customWidth="1"/>
    <col min="16" max="16" width="9.5703125" style="39" hidden="1" customWidth="1"/>
    <col min="17" max="17" width="10.85546875" style="39" hidden="1" customWidth="1"/>
    <col min="18" max="18" width="11.28515625" style="39" hidden="1" customWidth="1"/>
    <col min="19" max="20" width="0" style="39" hidden="1" customWidth="1"/>
    <col min="21" max="21" width="24" style="39" hidden="1" customWidth="1"/>
    <col min="22" max="22" width="12.5703125" style="39" hidden="1" customWidth="1"/>
    <col min="23" max="23" width="0" style="39" hidden="1" customWidth="1"/>
    <col min="24" max="16384" width="8.7109375" style="39"/>
  </cols>
  <sheetData>
    <row r="2" spans="3:22" ht="14.45" x14ac:dyDescent="0.35">
      <c r="C2" s="427" t="s">
        <v>515</v>
      </c>
      <c r="D2" s="427"/>
      <c r="E2" s="427"/>
      <c r="F2" s="427"/>
      <c r="G2" s="427"/>
      <c r="H2" s="427"/>
      <c r="I2" s="427"/>
      <c r="J2" s="427"/>
      <c r="K2" s="427"/>
      <c r="L2" s="144"/>
    </row>
    <row r="4" spans="3:22" ht="14.45" x14ac:dyDescent="0.35">
      <c r="C4" s="66" t="s">
        <v>0</v>
      </c>
      <c r="D4" s="66"/>
      <c r="E4" s="113" t="s">
        <v>2</v>
      </c>
      <c r="F4" s="113" t="s">
        <v>3</v>
      </c>
      <c r="G4" s="113" t="s">
        <v>4</v>
      </c>
      <c r="H4" s="113" t="s">
        <v>5</v>
      </c>
      <c r="I4" s="113" t="s">
        <v>6</v>
      </c>
      <c r="J4" s="113" t="s">
        <v>166</v>
      </c>
      <c r="K4" s="113" t="s">
        <v>165</v>
      </c>
      <c r="N4" s="259"/>
      <c r="O4" s="259"/>
      <c r="P4" s="259"/>
      <c r="Q4" s="259"/>
      <c r="R4" s="259"/>
      <c r="S4" s="259"/>
      <c r="T4" s="259"/>
      <c r="U4" s="259"/>
      <c r="V4" s="259"/>
    </row>
    <row r="5" spans="3:22" ht="14.45" x14ac:dyDescent="0.35">
      <c r="C5" s="47" t="s">
        <v>348</v>
      </c>
      <c r="D5" s="47"/>
      <c r="E5" s="47"/>
      <c r="F5" s="47"/>
      <c r="G5" s="47"/>
      <c r="H5" s="47"/>
      <c r="I5" s="47"/>
      <c r="J5" s="47"/>
      <c r="K5" s="47"/>
      <c r="N5" s="440" t="s">
        <v>488</v>
      </c>
      <c r="O5" s="440"/>
      <c r="P5" s="440"/>
      <c r="Q5" s="440"/>
      <c r="R5" s="440"/>
      <c r="S5" s="259"/>
      <c r="T5" s="259"/>
      <c r="U5" s="440" t="s">
        <v>489</v>
      </c>
      <c r="V5" s="440"/>
    </row>
    <row r="6" spans="3:22" ht="14.45" x14ac:dyDescent="0.35">
      <c r="C6" s="47" t="s">
        <v>349</v>
      </c>
      <c r="D6" s="125"/>
      <c r="E6" s="47"/>
      <c r="F6" s="82">
        <f t="shared" ref="F6:K9" si="0">E15</f>
        <v>0</v>
      </c>
      <c r="G6" s="82">
        <f t="shared" si="0"/>
        <v>0</v>
      </c>
      <c r="H6" s="82">
        <f t="shared" si="0"/>
        <v>0</v>
      </c>
      <c r="I6" s="82">
        <f t="shared" si="0"/>
        <v>0</v>
      </c>
      <c r="J6" s="82">
        <f t="shared" si="0"/>
        <v>0</v>
      </c>
      <c r="K6" s="82">
        <f t="shared" si="0"/>
        <v>0</v>
      </c>
      <c r="N6" s="439" t="s">
        <v>490</v>
      </c>
      <c r="O6" s="439"/>
      <c r="P6" s="439"/>
      <c r="Q6" s="439"/>
      <c r="R6" s="439"/>
      <c r="S6" s="259"/>
      <c r="T6" s="259"/>
      <c r="U6" s="439" t="s">
        <v>490</v>
      </c>
      <c r="V6" s="439"/>
    </row>
    <row r="7" spans="3:22" ht="14.45" x14ac:dyDescent="0.35">
      <c r="C7" s="47" t="s">
        <v>426</v>
      </c>
      <c r="D7" s="125"/>
      <c r="E7" s="47"/>
      <c r="F7" s="82">
        <f t="shared" si="0"/>
        <v>175492.86969424001</v>
      </c>
      <c r="G7" s="82">
        <f t="shared" si="0"/>
        <v>221121.01581474248</v>
      </c>
      <c r="H7" s="82">
        <f t="shared" si="0"/>
        <v>270873.24437305948</v>
      </c>
      <c r="I7" s="82">
        <f t="shared" si="0"/>
        <v>325047.89324767143</v>
      </c>
      <c r="J7" s="82">
        <f t="shared" si="0"/>
        <v>383962.82389881177</v>
      </c>
      <c r="K7" s="82">
        <f t="shared" si="0"/>
        <v>447956.62788194715</v>
      </c>
      <c r="N7" s="260" t="s">
        <v>0</v>
      </c>
      <c r="O7" s="260" t="s">
        <v>161</v>
      </c>
      <c r="P7" s="260" t="s">
        <v>162</v>
      </c>
      <c r="Q7" s="260" t="s">
        <v>299</v>
      </c>
      <c r="R7" s="260" t="s">
        <v>300</v>
      </c>
      <c r="S7" s="259"/>
      <c r="T7" s="259"/>
      <c r="U7" s="261" t="s">
        <v>0</v>
      </c>
      <c r="V7" s="261" t="s">
        <v>461</v>
      </c>
    </row>
    <row r="8" spans="3:22" ht="14.45" x14ac:dyDescent="0.35">
      <c r="C8" s="47" t="s">
        <v>506</v>
      </c>
      <c r="D8" s="125"/>
      <c r="E8" s="47"/>
      <c r="F8" s="82">
        <f t="shared" si="0"/>
        <v>325295.49933619209</v>
      </c>
      <c r="G8" s="82">
        <f t="shared" si="0"/>
        <v>384336.03756683524</v>
      </c>
      <c r="H8" s="82">
        <f t="shared" si="0"/>
        <v>460827.14012020221</v>
      </c>
      <c r="I8" s="82">
        <f t="shared" si="0"/>
        <v>543928.94118698896</v>
      </c>
      <c r="J8" s="82">
        <f t="shared" si="0"/>
        <v>634113.6335181538</v>
      </c>
      <c r="K8" s="82">
        <f t="shared" si="0"/>
        <v>731884.10239346779</v>
      </c>
      <c r="N8" s="262" t="s">
        <v>350</v>
      </c>
      <c r="O8" s="262">
        <f>'13.Facility 2 Grain Processing'!C152</f>
        <v>4800</v>
      </c>
      <c r="P8" s="262">
        <f>'13.Facility 2 Grain Processing'!C153</f>
        <v>5800</v>
      </c>
      <c r="Q8" s="262">
        <f>'13.Facility 2 Grain Processing'!C154</f>
        <v>5800</v>
      </c>
      <c r="R8" s="262">
        <f>'13.Facility 2 Grain Processing'!C155</f>
        <v>6200</v>
      </c>
      <c r="S8" s="259"/>
      <c r="T8" s="259"/>
      <c r="U8" s="262" t="s">
        <v>327</v>
      </c>
      <c r="V8" s="262">
        <f>'17.Facility 6 Cattle Feed'!C84</f>
        <v>1800</v>
      </c>
    </row>
    <row r="9" spans="3:22" ht="14.45" x14ac:dyDescent="0.35">
      <c r="C9" s="47" t="str">
        <f>C18</f>
        <v xml:space="preserve">Horticulture Processing </v>
      </c>
      <c r="D9" s="47"/>
      <c r="E9" s="47"/>
      <c r="F9" s="82">
        <f>E18</f>
        <v>155916.536391</v>
      </c>
      <c r="G9" s="82">
        <f t="shared" si="0"/>
        <v>196454.83585266001</v>
      </c>
      <c r="H9" s="82">
        <f t="shared" si="0"/>
        <v>240657.17391950847</v>
      </c>
      <c r="I9" s="82">
        <f t="shared" si="0"/>
        <v>288788.60870341025</v>
      </c>
      <c r="J9" s="82">
        <f t="shared" si="0"/>
        <v>341131.54403090331</v>
      </c>
      <c r="K9" s="82">
        <f t="shared" si="0"/>
        <v>397986.80136938719</v>
      </c>
      <c r="N9" s="262" t="str">
        <f>'13.Facility 2 Grain Processing'!A157</f>
        <v>Oil (Liters)</v>
      </c>
      <c r="O9" s="262">
        <f>('13.Facility 2 Grain Processing'!B157*'13.Facility 2 Grain Processing'!C157/1000)*100</f>
        <v>30</v>
      </c>
      <c r="P9" s="262">
        <f>O9</f>
        <v>30</v>
      </c>
      <c r="Q9" s="262">
        <f t="shared" ref="Q9:R9" si="1">P9</f>
        <v>30</v>
      </c>
      <c r="R9" s="262">
        <f t="shared" si="1"/>
        <v>30</v>
      </c>
      <c r="S9" s="259"/>
      <c r="T9" s="259"/>
      <c r="U9" s="262" t="str">
        <f>'17.Facility 6 Cattle Feed'!A85</f>
        <v xml:space="preserve">Cleaning Grading </v>
      </c>
      <c r="V9" s="263">
        <f>'17.Facility 6 Cattle Feed'!C85</f>
        <v>80</v>
      </c>
    </row>
    <row r="10" spans="3:22" ht="14.45" x14ac:dyDescent="0.35">
      <c r="C10" s="47"/>
      <c r="D10" s="47"/>
      <c r="E10" s="47"/>
      <c r="F10" s="82"/>
      <c r="G10" s="82"/>
      <c r="H10" s="82"/>
      <c r="I10" s="82"/>
      <c r="J10" s="82"/>
      <c r="K10" s="82"/>
      <c r="N10" s="262" t="str">
        <f>'13.Facility 2 Grain Processing'!A158</f>
        <v xml:space="preserve">Daily Labour </v>
      </c>
      <c r="O10" s="264">
        <f>('13.Facility 2 Grain Processing'!B158*'13.Facility 2 Grain Processing'!C158)/('13.Facility 2 Grain Processing'!B5*'13.Facility 2 Grain Processing'!B6)</f>
        <v>37.5</v>
      </c>
      <c r="P10" s="264">
        <f>O10</f>
        <v>37.5</v>
      </c>
      <c r="Q10" s="264">
        <f t="shared" ref="Q10:R10" si="2">P10</f>
        <v>37.5</v>
      </c>
      <c r="R10" s="264">
        <f t="shared" si="2"/>
        <v>37.5</v>
      </c>
      <c r="S10" s="259"/>
      <c r="T10" s="259"/>
      <c r="U10" s="262" t="str">
        <f>'17.Facility 6 Cattle Feed'!A86</f>
        <v xml:space="preserve">Daily Labour </v>
      </c>
      <c r="V10" s="263">
        <f>'17.Facility 6 Cattle Feed'!B86*'17.Facility 6 Cattle Feed'!C86/('17.Facility 6 Cattle Feed'!B5*'17.Facility 6 Cattle Feed'!B6)</f>
        <v>187.5</v>
      </c>
    </row>
    <row r="11" spans="3:22" ht="14.45" x14ac:dyDescent="0.35">
      <c r="C11" s="47"/>
      <c r="D11" s="47"/>
      <c r="E11" s="47"/>
      <c r="F11" s="82"/>
      <c r="G11" s="82"/>
      <c r="H11" s="82"/>
      <c r="I11" s="82"/>
      <c r="J11" s="82"/>
      <c r="K11" s="82"/>
      <c r="N11" s="262" t="str">
        <f>'13.Facility 2 Grain Processing'!A159</f>
        <v>Electricity Charges</v>
      </c>
      <c r="O11" s="264">
        <f>('13.Facility 2 Grain Processing'!B159*'13.Facility 2 Grain Processing'!C159)/('13.Facility 2 Grain Processing'!B5*'13.Facility 2 Grain Processing'!B6)</f>
        <v>4.7744</v>
      </c>
      <c r="P11" s="264">
        <f>O11</f>
        <v>4.7744</v>
      </c>
      <c r="Q11" s="264">
        <f t="shared" ref="Q11" si="3">P11</f>
        <v>4.7744</v>
      </c>
      <c r="R11" s="264">
        <f t="shared" ref="R11" si="4">Q11</f>
        <v>4.7744</v>
      </c>
      <c r="S11" s="259"/>
      <c r="T11" s="259"/>
      <c r="U11" s="262" t="str">
        <f>'17.Facility 6 Cattle Feed'!A87</f>
        <v>Electricity Charges</v>
      </c>
      <c r="V11" s="262">
        <f>'17.Facility 6 Cattle Feed'!B87*'17.Facility 6 Cattle Feed'!C87/('17.Facility 6 Cattle Feed'!B5*'17.Facility 6 Cattle Feed'!B6)</f>
        <v>262.59199999999998</v>
      </c>
    </row>
    <row r="12" spans="3:22" ht="14.45" x14ac:dyDescent="0.35">
      <c r="C12" s="47" t="s">
        <v>1</v>
      </c>
      <c r="D12" s="47"/>
      <c r="E12" s="82"/>
      <c r="F12" s="82">
        <f t="shared" ref="F12:K12" si="5">SUM(F6:F11)</f>
        <v>656704.90542143211</v>
      </c>
      <c r="G12" s="82">
        <f t="shared" si="5"/>
        <v>801911.88923423772</v>
      </c>
      <c r="H12" s="82">
        <f t="shared" si="5"/>
        <v>972357.55841277016</v>
      </c>
      <c r="I12" s="82">
        <f t="shared" si="5"/>
        <v>1157765.4431380706</v>
      </c>
      <c r="J12" s="82">
        <f t="shared" si="5"/>
        <v>1359208.001447869</v>
      </c>
      <c r="K12" s="82">
        <f t="shared" si="5"/>
        <v>1577827.5316448021</v>
      </c>
      <c r="N12" s="262" t="str">
        <f>'13.Facility 2 Grain Processing'!A160</f>
        <v>Loading/Unloading Charges</v>
      </c>
      <c r="O12" s="262">
        <f>'13.Facility 2 Grain Processing'!C160*2</f>
        <v>200</v>
      </c>
      <c r="P12" s="262">
        <f>O12</f>
        <v>200</v>
      </c>
      <c r="Q12" s="262">
        <f t="shared" ref="Q12:R13" si="6">P12</f>
        <v>200</v>
      </c>
      <c r="R12" s="262">
        <f t="shared" si="6"/>
        <v>200</v>
      </c>
      <c r="S12" s="259"/>
      <c r="T12" s="259"/>
      <c r="U12" s="262" t="str">
        <f>'17.Facility 6 Cattle Feed'!A88</f>
        <v>Loading/Unloading Charges</v>
      </c>
      <c r="V12" s="262">
        <f>'17.Facility 6 Cattle Feed'!C88</f>
        <v>50</v>
      </c>
    </row>
    <row r="13" spans="3:22" ht="14.45" x14ac:dyDescent="0.35">
      <c r="C13" s="47"/>
      <c r="D13" s="47"/>
      <c r="E13" s="47"/>
      <c r="F13" s="82"/>
      <c r="G13" s="82"/>
      <c r="H13" s="82"/>
      <c r="I13" s="82"/>
      <c r="J13" s="82"/>
      <c r="K13" s="82"/>
      <c r="N13" s="262" t="str">
        <f>'13.Facility 2 Grain Processing'!A161</f>
        <v>packaging Exp</v>
      </c>
      <c r="O13" s="262">
        <f>'13.Facility 2 Grain Processing'!C161*2</f>
        <v>60</v>
      </c>
      <c r="P13" s="262">
        <f>O13</f>
        <v>60</v>
      </c>
      <c r="Q13" s="262">
        <f t="shared" si="6"/>
        <v>60</v>
      </c>
      <c r="R13" s="262">
        <f t="shared" si="6"/>
        <v>60</v>
      </c>
      <c r="S13" s="259"/>
      <c r="T13" s="259"/>
      <c r="U13" s="262" t="str">
        <f>'17.Facility 6 Cattle Feed'!A89</f>
        <v>Packaging Exp</v>
      </c>
      <c r="V13" s="47">
        <f>'17.Facility 6 Cattle Feed'!C89*100</f>
        <v>3000</v>
      </c>
    </row>
    <row r="14" spans="3:22" ht="14.45" x14ac:dyDescent="0.35">
      <c r="C14" s="78" t="s">
        <v>329</v>
      </c>
      <c r="D14" s="47"/>
      <c r="E14" s="47"/>
      <c r="F14" s="82"/>
      <c r="G14" s="82"/>
      <c r="H14" s="82"/>
      <c r="I14" s="82"/>
      <c r="J14" s="82"/>
      <c r="K14" s="82"/>
      <c r="N14" s="262"/>
      <c r="O14" s="47"/>
      <c r="P14" s="47"/>
      <c r="Q14" s="47"/>
      <c r="R14" s="47"/>
      <c r="S14" s="259"/>
      <c r="T14" s="259"/>
      <c r="U14" s="47"/>
      <c r="V14" s="47"/>
    </row>
    <row r="15" spans="3:22" ht="14.45" x14ac:dyDescent="0.35">
      <c r="C15" s="47" t="str">
        <f>C6</f>
        <v>Agri Input</v>
      </c>
      <c r="D15" s="45">
        <v>0</v>
      </c>
      <c r="E15" s="82">
        <f>SUM('16.Facility 5 Atta Chakki'!D140:D143)*$D$15</f>
        <v>0</v>
      </c>
      <c r="F15" s="82">
        <f>SUM('16.Facility 5 Atta Chakki'!E140:E143)*$D$15</f>
        <v>0</v>
      </c>
      <c r="G15" s="82">
        <f>SUM('16.Facility 5 Atta Chakki'!F140:F143)*$D$15</f>
        <v>0</v>
      </c>
      <c r="H15" s="82">
        <f>SUM('16.Facility 5 Atta Chakki'!G140:G143)*$D$15</f>
        <v>0</v>
      </c>
      <c r="I15" s="82">
        <f>SUM('16.Facility 5 Atta Chakki'!H140:H143)*$D$15</f>
        <v>0</v>
      </c>
      <c r="J15" s="82">
        <f>SUM('16.Facility 5 Atta Chakki'!I140:I143)*$D$15</f>
        <v>0</v>
      </c>
      <c r="K15" s="82">
        <f>SUM('16.Facility 5 Atta Chakki'!J140:J143)*$D$15</f>
        <v>0</v>
      </c>
      <c r="N15" s="47"/>
      <c r="O15" s="47"/>
      <c r="P15" s="47"/>
      <c r="Q15" s="47"/>
      <c r="R15" s="47"/>
      <c r="U15" s="47"/>
      <c r="V15" s="47"/>
    </row>
    <row r="16" spans="3:22" ht="14.45" x14ac:dyDescent="0.35">
      <c r="C16" s="47" t="str">
        <f>C7</f>
        <v>Trading</v>
      </c>
      <c r="D16" s="45">
        <v>0.01</v>
      </c>
      <c r="E16" s="82">
        <f>SUM('12.Facility 1 - Trading'!D233:D284)*$D$16</f>
        <v>175492.86969424001</v>
      </c>
      <c r="F16" s="82">
        <f>SUM('12.Facility 1 - Trading'!E233:E284)*$D$16</f>
        <v>221121.01581474248</v>
      </c>
      <c r="G16" s="82">
        <f>SUM('12.Facility 1 - Trading'!F233:F284)*$D$16</f>
        <v>270873.24437305948</v>
      </c>
      <c r="H16" s="82">
        <f>SUM('12.Facility 1 - Trading'!G233:G284)*$D$16</f>
        <v>325047.89324767143</v>
      </c>
      <c r="I16" s="82">
        <f>SUM('12.Facility 1 - Trading'!H233:H284)*$D$16</f>
        <v>383962.82389881177</v>
      </c>
      <c r="J16" s="82">
        <f>SUM('12.Facility 1 - Trading'!I233:I284)*$D$16</f>
        <v>447956.62788194715</v>
      </c>
      <c r="K16" s="82">
        <f>SUM('12.Facility 1 - Trading'!J233:J284)*$D$16</f>
        <v>517389.90520364896</v>
      </c>
      <c r="N16" s="260" t="s">
        <v>351</v>
      </c>
      <c r="O16" s="265">
        <f>SUM(O8:O13)</f>
        <v>5132.2744000000002</v>
      </c>
      <c r="P16" s="265">
        <f>SUM(P8:P13)</f>
        <v>6132.2744000000002</v>
      </c>
      <c r="Q16" s="265">
        <f>SUM(Q8:Q13)</f>
        <v>6132.2744000000002</v>
      </c>
      <c r="R16" s="265">
        <f>SUM(R8:R13)</f>
        <v>6532.2744000000002</v>
      </c>
      <c r="U16" s="260" t="s">
        <v>1</v>
      </c>
      <c r="V16" s="265">
        <f>SUM(V8:V15)</f>
        <v>5380.0920000000006</v>
      </c>
    </row>
    <row r="17" spans="1:18" ht="14.45" x14ac:dyDescent="0.35">
      <c r="C17" s="47" t="str">
        <f>C8</f>
        <v xml:space="preserve">Grain Processing </v>
      </c>
      <c r="D17" s="45">
        <v>0.01</v>
      </c>
      <c r="E17" s="82">
        <f>SUM('13.Facility 2 Grain Processing'!D152:D161)*$D$17</f>
        <v>325295.49933619209</v>
      </c>
      <c r="F17" s="82">
        <f>SUM('13.Facility 2 Grain Processing'!E152:E161)*$D$17</f>
        <v>384336.03756683524</v>
      </c>
      <c r="G17" s="82">
        <f>SUM('13.Facility 2 Grain Processing'!F152:F161)*$D$17</f>
        <v>460827.14012020221</v>
      </c>
      <c r="H17" s="82">
        <f>SUM('13.Facility 2 Grain Processing'!G152:G161)*$D$17</f>
        <v>543928.94118698896</v>
      </c>
      <c r="I17" s="82">
        <f>SUM('13.Facility 2 Grain Processing'!H152:H161)*$D$17</f>
        <v>634113.6335181538</v>
      </c>
      <c r="J17" s="82">
        <f>SUM('13.Facility 2 Grain Processing'!I152:I161)*$D$17</f>
        <v>731884.10239346779</v>
      </c>
      <c r="K17" s="82">
        <f>SUM('13.Facility 2 Grain Processing'!J152:J161)*$D$17</f>
        <v>837775.81439251767</v>
      </c>
    </row>
    <row r="18" spans="1:18" ht="14.45" x14ac:dyDescent="0.35">
      <c r="C18" s="47" t="s">
        <v>486</v>
      </c>
      <c r="D18" s="45">
        <v>0.05</v>
      </c>
      <c r="E18" s="82">
        <f>SUM('17.Facility 6 Cattle Feed'!D84:D89)*$D$18</f>
        <v>155916.536391</v>
      </c>
      <c r="F18" s="82">
        <f>SUM('17.Facility 6 Cattle Feed'!E84:E89)*$D$18</f>
        <v>196454.83585266001</v>
      </c>
      <c r="G18" s="82">
        <f>SUM('17.Facility 6 Cattle Feed'!F84:F89)*$D$18</f>
        <v>240657.17391950847</v>
      </c>
      <c r="H18" s="82">
        <f>SUM('17.Facility 6 Cattle Feed'!G84:G89)*$D$18</f>
        <v>288788.60870341025</v>
      </c>
      <c r="I18" s="82">
        <f>SUM('17.Facility 6 Cattle Feed'!H84:H89)*$D$18</f>
        <v>341131.54403090331</v>
      </c>
      <c r="J18" s="82">
        <f>SUM('17.Facility 6 Cattle Feed'!I84:I89)*$D$18</f>
        <v>397986.80136938719</v>
      </c>
      <c r="K18" s="82">
        <f>SUM('17.Facility 6 Cattle Feed'!J84:J89)*$D$18</f>
        <v>459674.75558164227</v>
      </c>
    </row>
    <row r="19" spans="1:18" ht="14.45" x14ac:dyDescent="0.35">
      <c r="C19" s="47"/>
      <c r="D19" s="151"/>
      <c r="E19" s="82"/>
      <c r="F19" s="82"/>
      <c r="G19" s="82"/>
      <c r="H19" s="82"/>
      <c r="I19" s="82"/>
      <c r="J19" s="82"/>
      <c r="K19" s="82"/>
    </row>
    <row r="20" spans="1:18" ht="14.45" x14ac:dyDescent="0.35">
      <c r="C20" s="47"/>
      <c r="D20" s="47"/>
      <c r="E20" s="47"/>
      <c r="F20" s="82"/>
      <c r="G20" s="82"/>
      <c r="H20" s="82"/>
      <c r="I20" s="82"/>
      <c r="J20" s="82"/>
      <c r="K20" s="82"/>
    </row>
    <row r="21" spans="1:18" ht="14.45" x14ac:dyDescent="0.35">
      <c r="C21" s="47" t="s">
        <v>1</v>
      </c>
      <c r="D21" s="47"/>
      <c r="E21" s="46">
        <f t="shared" ref="E21:K21" si="7">SUM(E15:E20)</f>
        <v>656704.90542143211</v>
      </c>
      <c r="F21" s="82">
        <f t="shared" si="7"/>
        <v>801911.88923423772</v>
      </c>
      <c r="G21" s="82">
        <f t="shared" si="7"/>
        <v>972357.55841277016</v>
      </c>
      <c r="H21" s="82">
        <f t="shared" si="7"/>
        <v>1157765.4431380706</v>
      </c>
      <c r="I21" s="82">
        <f t="shared" si="7"/>
        <v>1359208.001447869</v>
      </c>
      <c r="J21" s="82">
        <f t="shared" si="7"/>
        <v>1577827.5316448021</v>
      </c>
      <c r="K21" s="82">
        <f t="shared" si="7"/>
        <v>1814840.4751778089</v>
      </c>
    </row>
    <row r="23" spans="1:18" ht="41.1" customHeight="1" x14ac:dyDescent="0.25">
      <c r="A23" s="430" t="s">
        <v>394</v>
      </c>
      <c r="B23" s="430"/>
      <c r="C23" s="430"/>
      <c r="D23" s="430"/>
      <c r="E23" s="430"/>
      <c r="F23" s="430"/>
      <c r="G23" s="430"/>
      <c r="H23" s="430"/>
      <c r="I23" s="430"/>
      <c r="J23" s="430"/>
      <c r="K23" s="430"/>
      <c r="L23" s="266"/>
      <c r="M23" s="266"/>
      <c r="N23" s="266"/>
      <c r="O23" s="267"/>
      <c r="P23" s="267"/>
      <c r="Q23" s="267"/>
      <c r="R23" s="267"/>
    </row>
    <row r="24" spans="1:18" ht="14.45" x14ac:dyDescent="0.35">
      <c r="A24" s="39" t="s">
        <v>491</v>
      </c>
    </row>
    <row r="25" spans="1:18" x14ac:dyDescent="0.25">
      <c r="A25" s="39">
        <v>1</v>
      </c>
      <c r="B25" s="39" t="s">
        <v>494</v>
      </c>
    </row>
    <row r="28" spans="1:18" x14ac:dyDescent="0.25">
      <c r="B28" s="427" t="s">
        <v>516</v>
      </c>
      <c r="C28" s="427"/>
      <c r="D28" s="427"/>
      <c r="E28" s="427"/>
      <c r="F28" s="427"/>
      <c r="G28" s="427"/>
      <c r="H28" s="427"/>
      <c r="I28" s="427"/>
      <c r="J28" s="427"/>
      <c r="K28" s="427"/>
    </row>
    <row r="30" spans="1:18" x14ac:dyDescent="0.25">
      <c r="B30" s="442" t="s">
        <v>144</v>
      </c>
      <c r="C30" s="442" t="s">
        <v>0</v>
      </c>
      <c r="D30" s="445" t="s">
        <v>347</v>
      </c>
      <c r="E30" s="447" t="s">
        <v>156</v>
      </c>
      <c r="F30" s="448"/>
      <c r="G30" s="448"/>
      <c r="H30" s="448"/>
      <c r="I30" s="448"/>
      <c r="J30" s="448"/>
      <c r="K30" s="448"/>
    </row>
    <row r="31" spans="1:18" x14ac:dyDescent="0.25">
      <c r="B31" s="442"/>
      <c r="C31" s="442"/>
      <c r="D31" s="446"/>
      <c r="E31" s="40" t="s">
        <v>2</v>
      </c>
      <c r="F31" s="40" t="s">
        <v>3</v>
      </c>
      <c r="G31" s="40" t="s">
        <v>4</v>
      </c>
      <c r="H31" s="40" t="s">
        <v>5</v>
      </c>
      <c r="I31" s="40" t="s">
        <v>6</v>
      </c>
      <c r="J31" s="40" t="s">
        <v>166</v>
      </c>
      <c r="K31" s="40" t="s">
        <v>165</v>
      </c>
    </row>
    <row r="32" spans="1:18" x14ac:dyDescent="0.25">
      <c r="B32" s="268"/>
      <c r="C32" s="269"/>
      <c r="D32" s="269"/>
      <c r="E32" s="270"/>
      <c r="F32" s="270"/>
      <c r="G32" s="270"/>
      <c r="H32" s="270"/>
      <c r="I32" s="270"/>
      <c r="J32" s="270"/>
      <c r="K32" s="270"/>
    </row>
    <row r="33" spans="2:11" x14ac:dyDescent="0.25">
      <c r="B33" s="271" t="s">
        <v>169</v>
      </c>
      <c r="C33" s="272" t="s">
        <v>330</v>
      </c>
      <c r="D33" s="273"/>
      <c r="E33" s="274"/>
      <c r="F33" s="274"/>
      <c r="G33" s="274"/>
      <c r="H33" s="274"/>
      <c r="I33" s="274"/>
      <c r="J33" s="274"/>
      <c r="K33" s="274"/>
    </row>
    <row r="34" spans="2:11" x14ac:dyDescent="0.25">
      <c r="B34" s="60">
        <v>1</v>
      </c>
      <c r="C34" s="275" t="str">
        <f>'6.Cons Profit &amp; Loss'!A8</f>
        <v>Facility 1 - Cleaning &amp; Grading</v>
      </c>
      <c r="D34" s="273">
        <v>14</v>
      </c>
      <c r="E34" s="274">
        <f>'6.Cons Profit &amp; Loss'!B8/365*$D34</f>
        <v>715027.28693698638</v>
      </c>
      <c r="F34" s="274">
        <f>'6.Cons Profit &amp; Loss'!C8/365*$D34</f>
        <v>908083.67225128773</v>
      </c>
      <c r="G34" s="274">
        <f>'6.Cons Profit &amp; Loss'!D8/365*$D34</f>
        <v>1112652.7236827014</v>
      </c>
      <c r="H34" s="274">
        <f>'6.Cons Profit &amp; Loss'!E8/365*$D34</f>
        <v>1335408.4710766284</v>
      </c>
      <c r="I34" s="274">
        <f>'6.Cons Profit &amp; Loss'!F8/365*$D34</f>
        <v>1577658.1614007417</v>
      </c>
      <c r="J34" s="274">
        <f>'6.Cons Profit &amp; Loss'!G8/365*$D34</f>
        <v>1840794.2995795738</v>
      </c>
      <c r="K34" s="274">
        <f>'6.Cons Profit &amp; Loss'!H8/365*$D34</f>
        <v>2126299.9061727878</v>
      </c>
    </row>
    <row r="35" spans="2:11" ht="30" x14ac:dyDescent="0.25">
      <c r="B35" s="60">
        <v>2</v>
      </c>
      <c r="C35" s="275" t="str">
        <f>'6.Cons Profit &amp; Loss'!A9</f>
        <v>Facility 2 - Processing Unit- Dal Mill</v>
      </c>
      <c r="D35" s="273">
        <v>14</v>
      </c>
      <c r="E35" s="274">
        <f>'6.Cons Profit &amp; Loss'!B9/365*$D35</f>
        <v>1423852.8887934249</v>
      </c>
      <c r="F35" s="274">
        <f>'6.Cons Profit &amp; Loss'!C9/365*$D35</f>
        <v>1756681.9668374793</v>
      </c>
      <c r="G35" s="274">
        <f>'6.Cons Profit &amp; Loss'!D9/365*$D35</f>
        <v>2108329.914656613</v>
      </c>
      <c r="H35" s="274">
        <f>'6.Cons Profit &amp; Loss'!E9/365*$D35</f>
        <v>2490750.9523405675</v>
      </c>
      <c r="I35" s="274">
        <f>'6.Cons Profit &amp; Loss'!F9/365*$D35</f>
        <v>2906143.2690062756</v>
      </c>
      <c r="J35" s="274">
        <f>'6.Cons Profit &amp; Loss'!G9/365*$D35</f>
        <v>3356847.9399577039</v>
      </c>
      <c r="K35" s="274">
        <f>'6.Cons Profit &amp; Loss'!H9/365*$D35</f>
        <v>3845357.7198317582</v>
      </c>
    </row>
    <row r="36" spans="2:11" x14ac:dyDescent="0.25">
      <c r="B36" s="60">
        <v>3</v>
      </c>
      <c r="C36" s="275" t="str">
        <f>'6.Cons Profit &amp; Loss'!A10</f>
        <v>Facility 3 - Warehouse</v>
      </c>
      <c r="D36" s="273">
        <v>0</v>
      </c>
      <c r="E36" s="274">
        <f>'6.Cons Profit &amp; Loss'!B10/365*$D36</f>
        <v>0</v>
      </c>
      <c r="F36" s="274">
        <f>'6.Cons Profit &amp; Loss'!C10/365*$D36</f>
        <v>0</v>
      </c>
      <c r="G36" s="274">
        <f>'6.Cons Profit &amp; Loss'!D10/365*$D36</f>
        <v>0</v>
      </c>
      <c r="H36" s="274">
        <f>'6.Cons Profit &amp; Loss'!E10/365*$D36</f>
        <v>0</v>
      </c>
      <c r="I36" s="274">
        <f>'6.Cons Profit &amp; Loss'!F10/365*$D36</f>
        <v>0</v>
      </c>
      <c r="J36" s="274">
        <f>'6.Cons Profit &amp; Loss'!G10/365*$D36</f>
        <v>0</v>
      </c>
      <c r="K36" s="274">
        <f>'6.Cons Profit &amp; Loss'!H10/365*$D36</f>
        <v>0</v>
      </c>
    </row>
    <row r="37" spans="2:11" x14ac:dyDescent="0.25">
      <c r="B37" s="60">
        <v>4</v>
      </c>
      <c r="C37" s="275" t="str">
        <f>'6.Cons Profit &amp; Loss'!A11</f>
        <v xml:space="preserve">Facility 4 - Custom Hiring </v>
      </c>
      <c r="D37" s="273">
        <v>0</v>
      </c>
      <c r="E37" s="274">
        <f>'6.Cons Profit &amp; Loss'!B11/365*$D37</f>
        <v>0</v>
      </c>
      <c r="F37" s="274">
        <f>'6.Cons Profit &amp; Loss'!C11/365*$D37</f>
        <v>0</v>
      </c>
      <c r="G37" s="274">
        <f>'6.Cons Profit &amp; Loss'!D11/365*$D37</f>
        <v>0</v>
      </c>
      <c r="H37" s="274">
        <f>'6.Cons Profit &amp; Loss'!E11/365*$D37</f>
        <v>0</v>
      </c>
      <c r="I37" s="274">
        <f>'6.Cons Profit &amp; Loss'!F11/365*$D37</f>
        <v>0</v>
      </c>
      <c r="J37" s="274">
        <f>'6.Cons Profit &amp; Loss'!G11/365*$D37</f>
        <v>0</v>
      </c>
      <c r="K37" s="274">
        <f>'6.Cons Profit &amp; Loss'!H11/365*$D37</f>
        <v>0</v>
      </c>
    </row>
    <row r="38" spans="2:11" x14ac:dyDescent="0.25">
      <c r="B38" s="60">
        <v>5</v>
      </c>
      <c r="C38" s="275" t="str">
        <f>'6.Cons Profit &amp; Loss'!A12</f>
        <v>Facility 5 - Atta Chakki</v>
      </c>
      <c r="D38" s="273">
        <v>0</v>
      </c>
      <c r="E38" s="274">
        <f>'6.Cons Profit &amp; Loss'!B12/365*$D38</f>
        <v>0</v>
      </c>
      <c r="F38" s="274">
        <f>'6.Cons Profit &amp; Loss'!C12/365*$D38</f>
        <v>0</v>
      </c>
      <c r="G38" s="274">
        <f>'6.Cons Profit &amp; Loss'!D12/365*$D38</f>
        <v>0</v>
      </c>
      <c r="H38" s="274">
        <f>'6.Cons Profit &amp; Loss'!E12/365*$D38</f>
        <v>0</v>
      </c>
      <c r="I38" s="274">
        <f>'6.Cons Profit &amp; Loss'!F12/365*$D38</f>
        <v>0</v>
      </c>
      <c r="J38" s="274">
        <f>'6.Cons Profit &amp; Loss'!G12/365*$D38</f>
        <v>0</v>
      </c>
      <c r="K38" s="274">
        <f>'6.Cons Profit &amp; Loss'!H12/365*$D38</f>
        <v>0</v>
      </c>
    </row>
    <row r="39" spans="2:11" x14ac:dyDescent="0.25">
      <c r="B39" s="60">
        <v>6</v>
      </c>
      <c r="C39" s="275" t="str">
        <f>'6.Cons Profit &amp; Loss'!A13</f>
        <v>Facility 6 - Cattle Feed</v>
      </c>
      <c r="D39" s="273">
        <v>14</v>
      </c>
      <c r="E39" s="274">
        <f>'6.Cons Profit &amp; Loss'!B13/365*$D39</f>
        <v>136973.23471232876</v>
      </c>
      <c r="F39" s="274">
        <f>'6.Cons Profit &amp; Loss'!C13/365*$D39</f>
        <v>180155.8492347945</v>
      </c>
      <c r="G39" s="274">
        <f>'6.Cons Profit &amp; Loss'!D13/365*$D39</f>
        <v>220955.85038502736</v>
      </c>
      <c r="H39" s="274">
        <f>'6.Cons Profit &amp; Loss'!E13/365*$D39</f>
        <v>265385.4620271966</v>
      </c>
      <c r="I39" s="274">
        <f>'6.Cons Profit &amp; Loss'!F13/365*$D39</f>
        <v>313705.64520762005</v>
      </c>
      <c r="J39" s="274">
        <f>'6.Cons Profit &amp; Loss'!G13/365*$D39</f>
        <v>366194.38305101788</v>
      </c>
      <c r="K39" s="274">
        <f>'6.Cons Profit &amp; Loss'!H13/365*$D39</f>
        <v>423147.73056573665</v>
      </c>
    </row>
    <row r="40" spans="2:11" x14ac:dyDescent="0.25">
      <c r="B40" s="60"/>
      <c r="C40" s="275"/>
      <c r="D40" s="273"/>
      <c r="E40" s="274"/>
      <c r="F40" s="274"/>
      <c r="G40" s="274"/>
      <c r="H40" s="274"/>
      <c r="I40" s="274"/>
      <c r="J40" s="274"/>
      <c r="K40" s="274"/>
    </row>
    <row r="41" spans="2:11" x14ac:dyDescent="0.25">
      <c r="B41" s="271"/>
      <c r="C41" s="272" t="s">
        <v>168</v>
      </c>
      <c r="D41" s="273"/>
      <c r="E41" s="274">
        <f>SUM(E34:E40)</f>
        <v>2275853.4104427402</v>
      </c>
      <c r="F41" s="274">
        <f t="shared" ref="F41:K41" si="8">SUM(F34:F40)</f>
        <v>2844921.4883235618</v>
      </c>
      <c r="G41" s="274">
        <f t="shared" si="8"/>
        <v>3441938.4887243421</v>
      </c>
      <c r="H41" s="274">
        <f t="shared" si="8"/>
        <v>4091544.8854443925</v>
      </c>
      <c r="I41" s="274">
        <f t="shared" si="8"/>
        <v>4797507.0756146377</v>
      </c>
      <c r="J41" s="274">
        <f t="shared" si="8"/>
        <v>5563836.6225882964</v>
      </c>
      <c r="K41" s="274">
        <f t="shared" si="8"/>
        <v>6394805.356570283</v>
      </c>
    </row>
    <row r="42" spans="2:11" x14ac:dyDescent="0.25">
      <c r="B42" s="271" t="s">
        <v>170</v>
      </c>
      <c r="C42" s="272" t="s">
        <v>329</v>
      </c>
      <c r="D42" s="273"/>
      <c r="E42" s="274">
        <f>'5.Closing Stock &amp; W Capital'!E21</f>
        <v>656704.90542143211</v>
      </c>
      <c r="F42" s="274">
        <f>'5.Closing Stock &amp; W Capital'!F21</f>
        <v>801911.88923423772</v>
      </c>
      <c r="G42" s="274">
        <f>'5.Closing Stock &amp; W Capital'!G21</f>
        <v>972357.55841277016</v>
      </c>
      <c r="H42" s="274">
        <f>'5.Closing Stock &amp; W Capital'!H21</f>
        <v>1157765.4431380706</v>
      </c>
      <c r="I42" s="274">
        <f>'5.Closing Stock &amp; W Capital'!I21</f>
        <v>1359208.001447869</v>
      </c>
      <c r="J42" s="274">
        <f>'5.Closing Stock &amp; W Capital'!J21</f>
        <v>1577827.5316448021</v>
      </c>
      <c r="K42" s="274">
        <f>'5.Closing Stock &amp; W Capital'!K21</f>
        <v>1814840.4751778089</v>
      </c>
    </row>
    <row r="43" spans="2:11" x14ac:dyDescent="0.25">
      <c r="B43" s="271"/>
      <c r="C43" s="275"/>
      <c r="D43" s="273"/>
      <c r="E43" s="274"/>
      <c r="F43" s="274"/>
      <c r="G43" s="274"/>
      <c r="H43" s="274"/>
      <c r="I43" s="274"/>
      <c r="J43" s="274"/>
      <c r="K43" s="274"/>
    </row>
    <row r="44" spans="2:11" x14ac:dyDescent="0.25">
      <c r="B44" s="443" t="s">
        <v>1</v>
      </c>
      <c r="C44" s="444"/>
      <c r="D44" s="276"/>
      <c r="E44" s="277">
        <f>SUM(E41:E42)</f>
        <v>2932558.3158641723</v>
      </c>
      <c r="F44" s="277">
        <f t="shared" ref="F44:K44" si="9">SUM(F41:F42)</f>
        <v>3646833.3775577997</v>
      </c>
      <c r="G44" s="277">
        <f t="shared" si="9"/>
        <v>4414296.0471371124</v>
      </c>
      <c r="H44" s="277">
        <f t="shared" si="9"/>
        <v>5249310.3285824629</v>
      </c>
      <c r="I44" s="277">
        <f t="shared" si="9"/>
        <v>6156715.0770625062</v>
      </c>
      <c r="J44" s="277">
        <f t="shared" si="9"/>
        <v>7141664.154233098</v>
      </c>
      <c r="K44" s="277">
        <f t="shared" si="9"/>
        <v>8209645.8317480916</v>
      </c>
    </row>
    <row r="45" spans="2:11" x14ac:dyDescent="0.25">
      <c r="B45" s="271"/>
      <c r="C45" s="272"/>
      <c r="D45" s="273"/>
      <c r="E45" s="274"/>
      <c r="F45" s="274"/>
      <c r="G45" s="274"/>
      <c r="H45" s="274"/>
      <c r="I45" s="274"/>
      <c r="J45" s="274"/>
      <c r="K45" s="274"/>
    </row>
    <row r="46" spans="2:11" ht="34.5" customHeight="1" x14ac:dyDescent="0.25">
      <c r="B46" s="271" t="s">
        <v>171</v>
      </c>
      <c r="C46" s="275" t="s">
        <v>331</v>
      </c>
      <c r="D46" s="273"/>
      <c r="E46" s="274"/>
      <c r="F46" s="274"/>
      <c r="G46" s="274"/>
      <c r="H46" s="274"/>
      <c r="I46" s="274"/>
      <c r="J46" s="274"/>
      <c r="K46" s="274"/>
    </row>
    <row r="47" spans="2:11" x14ac:dyDescent="0.25">
      <c r="B47" s="60">
        <v>1</v>
      </c>
      <c r="C47" s="275" t="str">
        <f t="shared" ref="C47:C52" si="10">C34</f>
        <v>Facility 1 - Cleaning &amp; Grading</v>
      </c>
      <c r="D47" s="273">
        <v>7</v>
      </c>
      <c r="E47" s="274">
        <f>'6.Cons Profit &amp; Loss'!B18/365*$D47</f>
        <v>335324.05657454336</v>
      </c>
      <c r="F47" s="274">
        <f>'6.Cons Profit &amp; Loss'!C18/365*$D47</f>
        <v>425873.92796299234</v>
      </c>
      <c r="G47" s="274">
        <f>'6.Cons Profit &amp; Loss'!D18/365*$D47</f>
        <v>521813.35833843297</v>
      </c>
      <c r="H47" s="274">
        <f>'6.Cons Profit &amp; Loss'!E18/365*$D47</f>
        <v>626282.04693151021</v>
      </c>
      <c r="I47" s="274">
        <f>'6.Cons Profit &amp; Loss'!F18/365*$D47</f>
        <v>739893.0709880488</v>
      </c>
      <c r="J47" s="274">
        <f>'6.Cons Profit &amp; Loss'!G18/365*$D47</f>
        <v>863299.49233291321</v>
      </c>
      <c r="K47" s="274">
        <f>'6.Cons Profit &amp; Loss'!H18/365*$D47</f>
        <v>997196.82313479332</v>
      </c>
    </row>
    <row r="48" spans="2:11" ht="30" x14ac:dyDescent="0.25">
      <c r="B48" s="60">
        <v>2</v>
      </c>
      <c r="C48" s="275" t="str">
        <f t="shared" si="10"/>
        <v>Facility 2 - Processing Unit- Dal Mill</v>
      </c>
      <c r="D48" s="273">
        <v>7</v>
      </c>
      <c r="E48" s="274">
        <f>'6.Cons Profit &amp; Loss'!B19/365*$D48</f>
        <v>640985.86721309903</v>
      </c>
      <c r="F48" s="274">
        <f>'6.Cons Profit &amp; Loss'!C19/365*$D48</f>
        <v>764578.81269274012</v>
      </c>
      <c r="G48" s="274">
        <f>'6.Cons Profit &amp; Loss'!D19/365*$D48</f>
        <v>916665.0665498192</v>
      </c>
      <c r="H48" s="274">
        <f>'6.Cons Profit &amp; Loss'!E19/365*$D48</f>
        <v>1082138.255179154</v>
      </c>
      <c r="I48" s="274">
        <f>'6.Cons Profit &amp; Loss'!F19/365*$D48</f>
        <v>1261722.7954872609</v>
      </c>
      <c r="J48" s="274">
        <f>'6.Cons Profit &amp; Loss'!G19/365*$D48</f>
        <v>1456420.6477778426</v>
      </c>
      <c r="K48" s="274">
        <f>'6.Cons Profit &amp; Loss'!H19/365*$D48</f>
        <v>1667298.6900057716</v>
      </c>
    </row>
    <row r="49" spans="1:12" x14ac:dyDescent="0.25">
      <c r="B49" s="60">
        <v>3</v>
      </c>
      <c r="C49" s="275" t="str">
        <f t="shared" si="10"/>
        <v>Facility 3 - Warehouse</v>
      </c>
      <c r="D49" s="273">
        <v>0</v>
      </c>
      <c r="E49" s="274">
        <f>'6.Cons Profit &amp; Loss'!B20/365*$D49</f>
        <v>0</v>
      </c>
      <c r="F49" s="274">
        <f>'6.Cons Profit &amp; Loss'!C20/365*$D49</f>
        <v>0</v>
      </c>
      <c r="G49" s="274">
        <f>'6.Cons Profit &amp; Loss'!D20/365*$D49</f>
        <v>0</v>
      </c>
      <c r="H49" s="274">
        <f>'6.Cons Profit &amp; Loss'!E20/365*$D49</f>
        <v>0</v>
      </c>
      <c r="I49" s="274">
        <f>'6.Cons Profit &amp; Loss'!F20/365*$D49</f>
        <v>0</v>
      </c>
      <c r="J49" s="274">
        <f>'6.Cons Profit &amp; Loss'!G20/365*$D49</f>
        <v>0</v>
      </c>
      <c r="K49" s="274">
        <f>'6.Cons Profit &amp; Loss'!H20/365*$D49</f>
        <v>0</v>
      </c>
    </row>
    <row r="50" spans="1:12" x14ac:dyDescent="0.25">
      <c r="B50" s="60">
        <v>4</v>
      </c>
      <c r="C50" s="275" t="str">
        <f t="shared" si="10"/>
        <v xml:space="preserve">Facility 4 - Custom Hiring </v>
      </c>
      <c r="D50" s="273">
        <v>0</v>
      </c>
      <c r="E50" s="274">
        <f>'6.Cons Profit &amp; Loss'!B21/365*$D50</f>
        <v>0</v>
      </c>
      <c r="F50" s="274">
        <f>'6.Cons Profit &amp; Loss'!C21/365*$D50</f>
        <v>0</v>
      </c>
      <c r="G50" s="274">
        <f>'6.Cons Profit &amp; Loss'!D21/365*$D50</f>
        <v>0</v>
      </c>
      <c r="H50" s="274">
        <f>'6.Cons Profit &amp; Loss'!E21/365*$D50</f>
        <v>0</v>
      </c>
      <c r="I50" s="274">
        <f>'6.Cons Profit &amp; Loss'!F21/365*$D50</f>
        <v>0</v>
      </c>
      <c r="J50" s="274">
        <f>'6.Cons Profit &amp; Loss'!G21/365*$D50</f>
        <v>0</v>
      </c>
      <c r="K50" s="274">
        <f>'6.Cons Profit &amp; Loss'!H21/365*$D50</f>
        <v>0</v>
      </c>
    </row>
    <row r="51" spans="1:12" x14ac:dyDescent="0.25">
      <c r="B51" s="60">
        <v>5</v>
      </c>
      <c r="C51" s="275" t="str">
        <f t="shared" si="10"/>
        <v>Facility 5 - Atta Chakki</v>
      </c>
      <c r="D51" s="273">
        <v>0</v>
      </c>
      <c r="E51" s="274">
        <f>'6.Cons Profit &amp; Loss'!B22/365*$D51</f>
        <v>0</v>
      </c>
      <c r="F51" s="274">
        <f>'6.Cons Profit &amp; Loss'!C22/365*$D51</f>
        <v>0</v>
      </c>
      <c r="G51" s="274">
        <f>'6.Cons Profit &amp; Loss'!D22/365*$D51</f>
        <v>0</v>
      </c>
      <c r="H51" s="274">
        <f>'6.Cons Profit &amp; Loss'!E22/365*$D51</f>
        <v>0</v>
      </c>
      <c r="I51" s="274">
        <f>'6.Cons Profit &amp; Loss'!F22/365*$D51</f>
        <v>0</v>
      </c>
      <c r="J51" s="274">
        <f>'6.Cons Profit &amp; Loss'!G22/365*$D51</f>
        <v>0</v>
      </c>
      <c r="K51" s="274">
        <f>'6.Cons Profit &amp; Loss'!H22/365*$D51</f>
        <v>0</v>
      </c>
    </row>
    <row r="52" spans="1:12" x14ac:dyDescent="0.25">
      <c r="B52" s="60"/>
      <c r="C52" s="275" t="str">
        <f t="shared" si="10"/>
        <v>Facility 6 - Cattle Feed</v>
      </c>
      <c r="D52" s="273">
        <v>7</v>
      </c>
      <c r="E52" s="274">
        <f>'6.Cons Profit &amp; Loss'!B23/365*$D52</f>
        <v>56837.943657542462</v>
      </c>
      <c r="F52" s="274">
        <f>'6.Cons Profit &amp; Loss'!C23/365*$D52</f>
        <v>74605.98915846787</v>
      </c>
      <c r="G52" s="274">
        <f>'6.Cons Profit &amp; Loss'!D23/365*$D52</f>
        <v>91496.993024371914</v>
      </c>
      <c r="H52" s="274">
        <f>'6.Cons Profit &amp; Loss'!E23/365*$D52</f>
        <v>109890.58230397019</v>
      </c>
      <c r="I52" s="274">
        <f>'6.Cons Profit &amp; Loss'!F23/365*$D52</f>
        <v>129894.78802896733</v>
      </c>
      <c r="J52" s="274">
        <f>'6.Cons Profit &amp; Loss'!G23/365*$D52</f>
        <v>151624.68787070428</v>
      </c>
      <c r="K52" s="274">
        <f>'6.Cons Profit &amp; Loss'!H23/365*$D52</f>
        <v>175202.84072654255</v>
      </c>
    </row>
    <row r="53" spans="1:12" x14ac:dyDescent="0.25">
      <c r="B53" s="60"/>
      <c r="C53" s="275"/>
      <c r="D53" s="273"/>
      <c r="E53" s="274"/>
      <c r="F53" s="274"/>
      <c r="G53" s="274"/>
      <c r="H53" s="274"/>
      <c r="I53" s="274"/>
      <c r="J53" s="274"/>
      <c r="K53" s="274"/>
    </row>
    <row r="54" spans="1:12" x14ac:dyDescent="0.25">
      <c r="B54" s="42"/>
      <c r="C54" s="272" t="s">
        <v>1</v>
      </c>
      <c r="D54" s="273"/>
      <c r="E54" s="277">
        <f>SUM(E47:E53)</f>
        <v>1033147.8674451848</v>
      </c>
      <c r="F54" s="277">
        <f t="shared" ref="F54:K54" si="11">SUM(F47:F53)</f>
        <v>1265058.7298142002</v>
      </c>
      <c r="G54" s="277">
        <f t="shared" si="11"/>
        <v>1529975.4179126243</v>
      </c>
      <c r="H54" s="277">
        <f t="shared" si="11"/>
        <v>1818310.8844146342</v>
      </c>
      <c r="I54" s="277">
        <f t="shared" si="11"/>
        <v>2131510.6545042768</v>
      </c>
      <c r="J54" s="277">
        <f t="shared" si="11"/>
        <v>2471344.8279814599</v>
      </c>
      <c r="K54" s="277">
        <f t="shared" si="11"/>
        <v>2839698.3538671075</v>
      </c>
    </row>
    <row r="55" spans="1:12" x14ac:dyDescent="0.25">
      <c r="B55" s="271" t="s">
        <v>172</v>
      </c>
      <c r="C55" s="272" t="s">
        <v>154</v>
      </c>
      <c r="D55" s="273"/>
      <c r="E55" s="277">
        <f>E44-E54</f>
        <v>1899410.4484189874</v>
      </c>
      <c r="F55" s="277">
        <f t="shared" ref="F55:K55" si="12">F44-F54</f>
        <v>2381774.6477435995</v>
      </c>
      <c r="G55" s="277">
        <f t="shared" si="12"/>
        <v>2884320.629224488</v>
      </c>
      <c r="H55" s="277">
        <f t="shared" si="12"/>
        <v>3430999.4441678287</v>
      </c>
      <c r="I55" s="277">
        <f t="shared" si="12"/>
        <v>4025204.4225582294</v>
      </c>
      <c r="J55" s="277">
        <f t="shared" si="12"/>
        <v>4670319.3262516381</v>
      </c>
      <c r="K55" s="277">
        <f t="shared" si="12"/>
        <v>5369947.4778809845</v>
      </c>
    </row>
    <row r="56" spans="1:12" x14ac:dyDescent="0.25">
      <c r="B56" s="271"/>
      <c r="C56" s="272" t="s">
        <v>134</v>
      </c>
      <c r="D56" s="278">
        <v>0.25</v>
      </c>
      <c r="E56" s="277">
        <f>E55*$D$56</f>
        <v>474852.61210474686</v>
      </c>
      <c r="F56" s="277"/>
      <c r="G56" s="277"/>
      <c r="H56" s="277"/>
      <c r="I56" s="277"/>
      <c r="J56" s="277"/>
      <c r="K56" s="277"/>
    </row>
    <row r="58" spans="1:12" x14ac:dyDescent="0.25">
      <c r="E58" s="119"/>
    </row>
    <row r="59" spans="1:12" ht="36.950000000000003" customHeight="1" x14ac:dyDescent="0.25">
      <c r="A59" s="428" t="s">
        <v>390</v>
      </c>
      <c r="B59" s="441"/>
      <c r="C59" s="441"/>
      <c r="D59" s="441"/>
      <c r="E59" s="441"/>
      <c r="F59" s="441"/>
      <c r="G59" s="441"/>
      <c r="H59" s="441"/>
      <c r="I59" s="441"/>
      <c r="J59" s="441"/>
      <c r="K59" s="441"/>
      <c r="L59" s="441"/>
    </row>
    <row r="60" spans="1:12" x14ac:dyDescent="0.25">
      <c r="A60" s="39" t="s">
        <v>495</v>
      </c>
    </row>
    <row r="61" spans="1:12" x14ac:dyDescent="0.25">
      <c r="A61" s="39">
        <v>1</v>
      </c>
      <c r="B61" s="39" t="s">
        <v>496</v>
      </c>
    </row>
    <row r="62" spans="1:12" x14ac:dyDescent="0.25">
      <c r="A62" s="39">
        <v>2</v>
      </c>
      <c r="B62" s="39" t="s">
        <v>497</v>
      </c>
    </row>
    <row r="63" spans="1:12" x14ac:dyDescent="0.25">
      <c r="A63" s="39">
        <v>3</v>
      </c>
      <c r="B63" s="39" t="s">
        <v>498</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workbookViewId="0">
      <selection activeCell="A5" sqref="A5:H15"/>
    </sheetView>
  </sheetViews>
  <sheetFormatPr defaultColWidth="8.7109375" defaultRowHeight="15" x14ac:dyDescent="0.25"/>
  <cols>
    <col min="1" max="1" width="40.5703125" style="39" bestFit="1" customWidth="1"/>
    <col min="2" max="8" width="14.140625" style="39" bestFit="1" customWidth="1"/>
    <col min="9" max="9" width="8.5703125" style="39" customWidth="1"/>
    <col min="10" max="10" width="10.140625" style="39" bestFit="1" customWidth="1"/>
    <col min="11" max="11" width="9.5703125" style="39" bestFit="1" customWidth="1"/>
    <col min="12" max="16384" width="8.7109375" style="39"/>
  </cols>
  <sheetData>
    <row r="2" spans="1:8" ht="14.45" x14ac:dyDescent="0.35">
      <c r="A2" s="425" t="s">
        <v>517</v>
      </c>
      <c r="B2" s="425"/>
      <c r="C2" s="425"/>
      <c r="D2" s="425"/>
      <c r="E2" s="425"/>
      <c r="F2" s="425"/>
      <c r="G2" s="425"/>
      <c r="H2" s="425"/>
    </row>
    <row r="4" spans="1:8" ht="14.45" x14ac:dyDescent="0.35">
      <c r="B4" s="74"/>
      <c r="C4" s="74"/>
      <c r="D4" s="74"/>
      <c r="E4" s="74"/>
      <c r="F4" s="74"/>
    </row>
    <row r="5" spans="1:8" ht="14.45" x14ac:dyDescent="0.35">
      <c r="A5" s="76" t="s">
        <v>0</v>
      </c>
      <c r="B5" s="77" t="s">
        <v>2</v>
      </c>
      <c r="C5" s="77" t="s">
        <v>3</v>
      </c>
      <c r="D5" s="77" t="s">
        <v>4</v>
      </c>
      <c r="E5" s="77" t="s">
        <v>5</v>
      </c>
      <c r="F5" s="77" t="s">
        <v>6</v>
      </c>
      <c r="G5" s="77" t="s">
        <v>166</v>
      </c>
      <c r="H5" s="77" t="s">
        <v>165</v>
      </c>
    </row>
    <row r="6" spans="1:8" ht="14.45" x14ac:dyDescent="0.35">
      <c r="A6" s="78" t="s">
        <v>126</v>
      </c>
      <c r="B6" s="47"/>
      <c r="C6" s="47"/>
      <c r="D6" s="47"/>
      <c r="E6" s="47"/>
      <c r="F6" s="47"/>
      <c r="G6" s="47"/>
      <c r="H6" s="47"/>
    </row>
    <row r="7" spans="1:8" ht="14.45" x14ac:dyDescent="0.35">
      <c r="A7" s="47"/>
      <c r="B7" s="47"/>
      <c r="C7" s="47"/>
      <c r="D7" s="47"/>
      <c r="E7" s="47"/>
      <c r="F7" s="47"/>
      <c r="G7" s="47"/>
      <c r="H7" s="47"/>
    </row>
    <row r="8" spans="1:8" ht="14.45" x14ac:dyDescent="0.35">
      <c r="A8" s="47" t="s">
        <v>709</v>
      </c>
      <c r="B8" s="82">
        <f>'12.Facility 1 - Trading'!D229</f>
        <v>18641782.838000003</v>
      </c>
      <c r="C8" s="82">
        <f>'12.Facility 1 - Trading'!E229</f>
        <v>23675038.597980004</v>
      </c>
      <c r="D8" s="82">
        <f>'12.Facility 1 - Trading'!F229</f>
        <v>29008446.010298997</v>
      </c>
      <c r="E8" s="82">
        <f>'12.Facility 1 - Trading'!G229</f>
        <v>34816006.567354955</v>
      </c>
      <c r="F8" s="82">
        <f>'12.Facility 1 - Trading'!H229</f>
        <v>41131802.065090761</v>
      </c>
      <c r="G8" s="82">
        <f>'12.Facility 1 - Trading'!I229</f>
        <v>47992137.096181743</v>
      </c>
      <c r="H8" s="82">
        <f>'12.Facility 1 - Trading'!J229</f>
        <v>55435676.125219107</v>
      </c>
    </row>
    <row r="9" spans="1:8" ht="14.45" x14ac:dyDescent="0.35">
      <c r="A9" s="47" t="s">
        <v>710</v>
      </c>
      <c r="B9" s="82">
        <f>'13.Facility 2 Grain Processing'!D148</f>
        <v>37121878.886400007</v>
      </c>
      <c r="C9" s="82">
        <f>'13.Facility 2 Grain Processing'!E148</f>
        <v>45799208.421119995</v>
      </c>
      <c r="D9" s="82">
        <f>'13.Facility 2 Grain Processing'!F148</f>
        <v>54967172.774975993</v>
      </c>
      <c r="E9" s="82">
        <f>'13.Facility 2 Grain Processing'!G148</f>
        <v>64937435.543164805</v>
      </c>
      <c r="F9" s="82">
        <f>'13.Facility 2 Grain Processing'!H148</f>
        <v>75767306.656235039</v>
      </c>
      <c r="G9" s="82">
        <f>'13.Facility 2 Grain Processing'!I148</f>
        <v>87517821.291754425</v>
      </c>
      <c r="H9" s="82">
        <f>'13.Facility 2 Grain Processing'!J148</f>
        <v>100253969.12418513</v>
      </c>
    </row>
    <row r="10" spans="1:8" ht="14.45" x14ac:dyDescent="0.35">
      <c r="A10" s="47" t="s">
        <v>543</v>
      </c>
      <c r="B10" s="82">
        <f>'14. Facility 3 Warehouse'!D23</f>
        <v>1296000</v>
      </c>
      <c r="C10" s="82">
        <f>'14. Facility 3 Warehouse'!E23</f>
        <v>1360800</v>
      </c>
      <c r="D10" s="82">
        <f>'14. Facility 3 Warehouse'!F23</f>
        <v>1428840</v>
      </c>
      <c r="E10" s="82">
        <f>'14. Facility 3 Warehouse'!G23</f>
        <v>1500282.0000000002</v>
      </c>
      <c r="F10" s="82">
        <f>'14. Facility 3 Warehouse'!H23</f>
        <v>1575296.1000000003</v>
      </c>
      <c r="G10" s="82">
        <f>'14. Facility 3 Warehouse'!I23</f>
        <v>1654060.9050000005</v>
      </c>
      <c r="H10" s="82">
        <f>'14. Facility 3 Warehouse'!J23</f>
        <v>1736763.9502500005</v>
      </c>
    </row>
    <row r="11" spans="1:8" ht="14.45" x14ac:dyDescent="0.35">
      <c r="A11" s="47" t="s">
        <v>711</v>
      </c>
      <c r="B11" s="82">
        <f>'15. Facility 4 Custom Hiring'!E39</f>
        <v>2178000</v>
      </c>
      <c r="C11" s="82">
        <f>'15. Facility 4 Custom Hiring'!F39</f>
        <v>2286900</v>
      </c>
      <c r="D11" s="82">
        <f>'15. Facility 4 Custom Hiring'!G39</f>
        <v>2401245</v>
      </c>
      <c r="E11" s="82">
        <f>'15. Facility 4 Custom Hiring'!H39</f>
        <v>2521307.2500000005</v>
      </c>
      <c r="F11" s="82">
        <f>'15. Facility 4 Custom Hiring'!I39</f>
        <v>2647372.6125000003</v>
      </c>
      <c r="G11" s="82">
        <f>'15. Facility 4 Custom Hiring'!J39</f>
        <v>2779741.2431250005</v>
      </c>
      <c r="H11" s="82">
        <f>'15. Facility 4 Custom Hiring'!K39</f>
        <v>2918728.3052812507</v>
      </c>
    </row>
    <row r="12" spans="1:8" ht="14.45" x14ac:dyDescent="0.35">
      <c r="A12" s="47" t="s">
        <v>720</v>
      </c>
      <c r="B12" s="82">
        <f>'16.Facility 5 Atta Chakki'!D136</f>
        <v>13664296.800000001</v>
      </c>
      <c r="C12" s="82">
        <f>'16.Facility 5 Atta Chakki'!E136</f>
        <v>17217013.968000002</v>
      </c>
      <c r="D12" s="82">
        <f>'16.Facility 5 Atta Chakki'!F136</f>
        <v>21090842.110800002</v>
      </c>
      <c r="E12" s="82">
        <f>'16.Facility 5 Atta Chakki'!G136</f>
        <v>25309010.532960001</v>
      </c>
      <c r="F12" s="82">
        <f>'16.Facility 5 Atta Chakki'!H136</f>
        <v>29896268.692059003</v>
      </c>
      <c r="G12" s="82">
        <f>'16.Facility 5 Atta Chakki'!I136</f>
        <v>34878980.140735507</v>
      </c>
      <c r="H12" s="82">
        <f>'16.Facility 5 Atta Chakki'!J136</f>
        <v>40285222.062549517</v>
      </c>
    </row>
    <row r="13" spans="1:8" ht="14.45" x14ac:dyDescent="0.35">
      <c r="A13" s="47" t="s">
        <v>712</v>
      </c>
      <c r="B13" s="82">
        <f>'17.Facility 6 Cattle Feed'!D80</f>
        <v>3571087.9049999998</v>
      </c>
      <c r="C13" s="82">
        <f>'17.Facility 6 Cattle Feed'!E80</f>
        <v>4696920.3550499994</v>
      </c>
      <c r="D13" s="82">
        <f>'17.Facility 6 Cattle Feed'!F80</f>
        <v>5760634.6707524993</v>
      </c>
      <c r="E13" s="82">
        <f>'17.Facility 6 Cattle Feed'!G80</f>
        <v>6918978.1171376249</v>
      </c>
      <c r="F13" s="82">
        <f>'17.Facility 6 Cattle Feed'!H80</f>
        <v>8178754.3214843804</v>
      </c>
      <c r="G13" s="82">
        <f>'17.Facility 6 Cattle Feed'!I80</f>
        <v>9547210.7009729668</v>
      </c>
      <c r="H13" s="82">
        <f>'17.Facility 6 Cattle Feed'!J80</f>
        <v>11032065.832606705</v>
      </c>
    </row>
    <row r="14" spans="1:8" ht="14.45" x14ac:dyDescent="0.35">
      <c r="A14" s="47"/>
      <c r="B14" s="82"/>
      <c r="C14" s="82"/>
      <c r="D14" s="82"/>
      <c r="E14" s="82"/>
      <c r="F14" s="82"/>
      <c r="G14" s="82"/>
      <c r="H14" s="82"/>
    </row>
    <row r="15" spans="1:8" ht="14.45" x14ac:dyDescent="0.35">
      <c r="A15" s="78" t="s">
        <v>142</v>
      </c>
      <c r="B15" s="84">
        <f>SUM(B8:B14)</f>
        <v>76473046.429400012</v>
      </c>
      <c r="C15" s="84">
        <f t="shared" ref="C15:H15" si="0">SUM(C8:C14)</f>
        <v>95035881.342150003</v>
      </c>
      <c r="D15" s="84">
        <f t="shared" si="0"/>
        <v>114657180.56682748</v>
      </c>
      <c r="E15" s="84">
        <f t="shared" si="0"/>
        <v>136003020.01061738</v>
      </c>
      <c r="F15" s="84">
        <f t="shared" si="0"/>
        <v>159196800.44736919</v>
      </c>
      <c r="G15" s="84">
        <f t="shared" si="0"/>
        <v>184369951.37776965</v>
      </c>
      <c r="H15" s="84">
        <f t="shared" si="0"/>
        <v>211662425.40009174</v>
      </c>
    </row>
    <row r="16" spans="1:8" ht="14.45" x14ac:dyDescent="0.35">
      <c r="A16" s="47"/>
      <c r="B16" s="82"/>
      <c r="C16" s="82"/>
      <c r="D16" s="82"/>
      <c r="E16" s="82"/>
      <c r="F16" s="82"/>
      <c r="G16" s="82"/>
      <c r="H16" s="82"/>
    </row>
    <row r="17" spans="1:8" ht="14.45" x14ac:dyDescent="0.35">
      <c r="A17" s="78" t="s">
        <v>295</v>
      </c>
      <c r="B17" s="82"/>
      <c r="C17" s="82"/>
      <c r="D17" s="82"/>
      <c r="E17" s="82"/>
      <c r="F17" s="82"/>
      <c r="G17" s="82"/>
      <c r="H17" s="82"/>
    </row>
    <row r="18" spans="1:8" ht="14.45" x14ac:dyDescent="0.35">
      <c r="A18" s="47" t="str">
        <f t="shared" ref="A18:A23" si="1">A8</f>
        <v>Facility 1 - Cleaning &amp; Grading</v>
      </c>
      <c r="B18" s="82">
        <f>'12.Facility 1 - Trading'!D292</f>
        <v>17484754.378529761</v>
      </c>
      <c r="C18" s="82">
        <f>'12.Facility 1 - Trading'!E292</f>
        <v>22206283.386641745</v>
      </c>
      <c r="D18" s="82">
        <f>'12.Facility 1 - Trading'!F292</f>
        <v>27208839.399075434</v>
      </c>
      <c r="E18" s="82">
        <f>'12.Facility 1 - Trading'!G292</f>
        <v>32656135.304285891</v>
      </c>
      <c r="F18" s="82">
        <f>'12.Facility 1 - Trading'!H292</f>
        <v>38580138.70151969</v>
      </c>
      <c r="G18" s="82">
        <f>'12.Facility 1 - Trading'!I292</f>
        <v>45014902.100216188</v>
      </c>
      <c r="H18" s="82">
        <f>'12.Facility 1 - Trading'!J292</f>
        <v>51996691.492028505</v>
      </c>
    </row>
    <row r="19" spans="1:8" ht="14.45" x14ac:dyDescent="0.35">
      <c r="A19" s="47" t="str">
        <f t="shared" si="1"/>
        <v>Facility 2 - Processing Unit- Dal Mill</v>
      </c>
      <c r="B19" s="82">
        <f>'13.Facility 2 Grain Processing'!D170</f>
        <v>33422834.504683018</v>
      </c>
      <c r="C19" s="82">
        <f>'13.Facility 2 Grain Processing'!E170</f>
        <v>39867323.804692879</v>
      </c>
      <c r="D19" s="82">
        <f>'13.Facility 2 Grain Processing'!F170</f>
        <v>47797535.612954855</v>
      </c>
      <c r="E19" s="82">
        <f>'13.Facility 2 Grain Processing'!G170</f>
        <v>56425780.448627308</v>
      </c>
      <c r="F19" s="82">
        <f>'13.Facility 2 Grain Processing'!H170</f>
        <v>65789831.478978612</v>
      </c>
      <c r="G19" s="82">
        <f>'13.Facility 2 Grain Processing'!I170</f>
        <v>75941933.776987508</v>
      </c>
      <c r="H19" s="82">
        <f>'13.Facility 2 Grain Processing'!J170</f>
        <v>86937717.407443807</v>
      </c>
    </row>
    <row r="20" spans="1:8" ht="14.45" x14ac:dyDescent="0.35">
      <c r="A20" s="47" t="str">
        <f t="shared" si="1"/>
        <v>Facility 3 - Warehouse</v>
      </c>
      <c r="B20" s="82">
        <f>'14. Facility 3 Warehouse'!D34</f>
        <v>741600</v>
      </c>
      <c r="C20" s="82">
        <f>'14. Facility 3 Warehouse'!E34</f>
        <v>778680</v>
      </c>
      <c r="D20" s="82">
        <f>'14. Facility 3 Warehouse'!F34</f>
        <v>817614</v>
      </c>
      <c r="E20" s="82">
        <f>'14. Facility 3 Warehouse'!G34</f>
        <v>858494.70000000007</v>
      </c>
      <c r="F20" s="82">
        <f>'14. Facility 3 Warehouse'!H34</f>
        <v>901419.43500000006</v>
      </c>
      <c r="G20" s="82">
        <f>'14. Facility 3 Warehouse'!I34</f>
        <v>946490.4067500002</v>
      </c>
      <c r="H20" s="82">
        <f>'14. Facility 3 Warehouse'!J34</f>
        <v>993814.92708750046</v>
      </c>
    </row>
    <row r="21" spans="1:8" ht="14.45" x14ac:dyDescent="0.35">
      <c r="A21" s="47" t="str">
        <f t="shared" si="1"/>
        <v xml:space="preserve">Facility 4 - Custom Hiring </v>
      </c>
      <c r="B21" s="82">
        <f>'15. Facility 4 Custom Hiring'!E49</f>
        <v>1526227.2</v>
      </c>
      <c r="C21" s="82">
        <f>'15. Facility 4 Custom Hiring'!F49</f>
        <v>1602538.56</v>
      </c>
      <c r="D21" s="82">
        <f>'15. Facility 4 Custom Hiring'!G49</f>
        <v>1682665.4879999999</v>
      </c>
      <c r="E21" s="82">
        <f>'15. Facility 4 Custom Hiring'!H49</f>
        <v>1766798.7624000004</v>
      </c>
      <c r="F21" s="82">
        <f>'15. Facility 4 Custom Hiring'!I49</f>
        <v>1855138.7005200004</v>
      </c>
      <c r="G21" s="82">
        <f>'15. Facility 4 Custom Hiring'!J49</f>
        <v>1947895.6355460007</v>
      </c>
      <c r="H21" s="82">
        <f>'15. Facility 4 Custom Hiring'!K49</f>
        <v>2045290.4173233006</v>
      </c>
    </row>
    <row r="22" spans="1:8" ht="14.45" x14ac:dyDescent="0.35">
      <c r="A22" s="47" t="str">
        <f t="shared" si="1"/>
        <v>Facility 5 - Atta Chakki</v>
      </c>
      <c r="B22" s="82">
        <f>'16.Facility 5 Atta Chakki'!D153</f>
        <v>11544853.151999999</v>
      </c>
      <c r="C22" s="82">
        <f>'16.Facility 5 Atta Chakki'!E153</f>
        <v>14538051.158399999</v>
      </c>
      <c r="D22" s="82">
        <f>'16.Facility 5 Atta Chakki'!F153+1500000</f>
        <v>19299238.220400002</v>
      </c>
      <c r="E22" s="82">
        <f>'16.Facility 5 Atta Chakki'!G153+1500000</f>
        <v>22847800.780320004</v>
      </c>
      <c r="F22" s="82">
        <f>'16.Facility 5 Atta Chakki'!H153+1500000</f>
        <v>26704393.952073008</v>
      </c>
      <c r="G22" s="82">
        <f>'16.Facility 5 Atta Chakki'!I153+1500000</f>
        <v>30891019.922218498</v>
      </c>
      <c r="H22" s="82">
        <f>'16.Facility 5 Atta Chakki'!J153+2500000</f>
        <v>36431111.019442379</v>
      </c>
    </row>
    <row r="23" spans="1:8" ht="14.45" x14ac:dyDescent="0.35">
      <c r="A23" s="47" t="str">
        <f t="shared" si="1"/>
        <v>Facility 6 - Cattle Feed</v>
      </c>
      <c r="B23" s="82">
        <f>'17.Facility 6 Cattle Feed'!D98</f>
        <v>2963692.7764289998</v>
      </c>
      <c r="C23" s="82">
        <f>'17.Facility 6 Cattle Feed'!E98</f>
        <v>3890169.434691539</v>
      </c>
      <c r="D23" s="82">
        <f>'17.Facility 6 Cattle Feed'!F98</f>
        <v>4770914.6362708211</v>
      </c>
      <c r="E23" s="82">
        <f>'17.Facility 6 Cattle Feed'!G98</f>
        <v>5730008.9344213028</v>
      </c>
      <c r="F23" s="82">
        <f>'17.Facility 6 Cattle Feed'!H98</f>
        <v>6773085.3757961541</v>
      </c>
      <c r="G23" s="82">
        <f>'17.Facility 6 Cattle Feed'!I98</f>
        <v>7906144.4389724378</v>
      </c>
      <c r="H23" s="82">
        <f>'17.Facility 6 Cattle Feed'!J98</f>
        <v>9135576.6950268615</v>
      </c>
    </row>
    <row r="24" spans="1:8" ht="14.45" x14ac:dyDescent="0.35">
      <c r="A24" s="47"/>
      <c r="B24" s="82"/>
      <c r="C24" s="82"/>
      <c r="D24" s="82"/>
      <c r="E24" s="82"/>
      <c r="F24" s="82"/>
      <c r="G24" s="82"/>
      <c r="H24" s="82"/>
    </row>
    <row r="25" spans="1:8" ht="14.45" x14ac:dyDescent="0.35">
      <c r="A25" s="78" t="s">
        <v>306</v>
      </c>
      <c r="B25" s="84">
        <f>SUM(B18:B24)</f>
        <v>67683962.011641771</v>
      </c>
      <c r="C25" s="84">
        <f t="shared" ref="C25:H25" si="2">SUM(C18:C24)</f>
        <v>82883046.344426155</v>
      </c>
      <c r="D25" s="84">
        <f t="shared" si="2"/>
        <v>101576807.35670112</v>
      </c>
      <c r="E25" s="84">
        <f t="shared" si="2"/>
        <v>120285018.93005452</v>
      </c>
      <c r="F25" s="84">
        <f t="shared" si="2"/>
        <v>140604007.64388746</v>
      </c>
      <c r="G25" s="84">
        <f t="shared" si="2"/>
        <v>162648386.28069064</v>
      </c>
      <c r="H25" s="84">
        <f t="shared" si="2"/>
        <v>187540201.95835233</v>
      </c>
    </row>
    <row r="26" spans="1:8" ht="14.45" x14ac:dyDescent="0.35">
      <c r="A26" s="47"/>
      <c r="B26" s="82"/>
      <c r="C26" s="82"/>
      <c r="D26" s="82"/>
      <c r="E26" s="82"/>
      <c r="F26" s="82"/>
      <c r="G26" s="82"/>
      <c r="H26" s="82"/>
    </row>
    <row r="27" spans="1:8" ht="14.45" x14ac:dyDescent="0.35">
      <c r="A27" s="78" t="s">
        <v>293</v>
      </c>
      <c r="B27" s="82"/>
      <c r="C27" s="82"/>
      <c r="D27" s="82"/>
      <c r="E27" s="82"/>
      <c r="F27" s="82"/>
      <c r="G27" s="82"/>
      <c r="H27" s="82"/>
    </row>
    <row r="28" spans="1:8" ht="14.45" x14ac:dyDescent="0.35">
      <c r="A28" s="47" t="str">
        <f t="shared" ref="A28:A33" si="3">A18</f>
        <v>Facility 1 - Cleaning &amp; Grading</v>
      </c>
      <c r="B28" s="82">
        <f>'12.Facility 1 - Trading'!D301</f>
        <v>180000</v>
      </c>
      <c r="C28" s="82">
        <f>'12.Facility 1 - Trading'!E301</f>
        <v>189000</v>
      </c>
      <c r="D28" s="82">
        <f>'12.Facility 1 - Trading'!F301</f>
        <v>198450</v>
      </c>
      <c r="E28" s="82">
        <f>'12.Facility 1 - Trading'!G301</f>
        <v>208372.50000000003</v>
      </c>
      <c r="F28" s="82">
        <f>'12.Facility 1 - Trading'!H301</f>
        <v>218791.12500000003</v>
      </c>
      <c r="G28" s="82">
        <f>'12.Facility 1 - Trading'!I301</f>
        <v>229730.68125000005</v>
      </c>
      <c r="H28" s="82">
        <f>'12.Facility 1 - Trading'!J301</f>
        <v>241217.21531250008</v>
      </c>
    </row>
    <row r="29" spans="1:8" ht="14.45" x14ac:dyDescent="0.35">
      <c r="A29" s="47" t="str">
        <f t="shared" si="3"/>
        <v>Facility 2 - Processing Unit- Dal Mill</v>
      </c>
      <c r="B29" s="82">
        <f>'13.Facility 2 Grain Processing'!D178</f>
        <v>180000</v>
      </c>
      <c r="C29" s="82">
        <f>'13.Facility 2 Grain Processing'!E178</f>
        <v>189000</v>
      </c>
      <c r="D29" s="82">
        <f>'13.Facility 2 Grain Processing'!F178</f>
        <v>198450</v>
      </c>
      <c r="E29" s="82">
        <f>'13.Facility 2 Grain Processing'!G178</f>
        <v>208372.50000000003</v>
      </c>
      <c r="F29" s="82">
        <f>'13.Facility 2 Grain Processing'!H178</f>
        <v>218791.12500000003</v>
      </c>
      <c r="G29" s="82">
        <f>'13.Facility 2 Grain Processing'!I178</f>
        <v>229730.68125000005</v>
      </c>
      <c r="H29" s="82">
        <f>'13.Facility 2 Grain Processing'!J178</f>
        <v>241217.21531250008</v>
      </c>
    </row>
    <row r="30" spans="1:8" ht="14.45" x14ac:dyDescent="0.35">
      <c r="A30" s="47" t="str">
        <f t="shared" si="3"/>
        <v>Facility 3 - Warehouse</v>
      </c>
      <c r="B30" s="82">
        <f>'14. Facility 3 Warehouse'!D43</f>
        <v>420000</v>
      </c>
      <c r="C30" s="82">
        <f>'14. Facility 3 Warehouse'!E43</f>
        <v>441000</v>
      </c>
      <c r="D30" s="82">
        <f>'14. Facility 3 Warehouse'!F43</f>
        <v>463050</v>
      </c>
      <c r="E30" s="82">
        <f>'14. Facility 3 Warehouse'!G43</f>
        <v>486202.50000000012</v>
      </c>
      <c r="F30" s="82">
        <f>'14. Facility 3 Warehouse'!H43</f>
        <v>510512.62500000012</v>
      </c>
      <c r="G30" s="82">
        <f>'14. Facility 3 Warehouse'!I43</f>
        <v>536038.25625000009</v>
      </c>
      <c r="H30" s="82">
        <f>'14. Facility 3 Warehouse'!J43</f>
        <v>562840.16906250012</v>
      </c>
    </row>
    <row r="31" spans="1:8" x14ac:dyDescent="0.25">
      <c r="A31" s="47" t="str">
        <f t="shared" si="3"/>
        <v xml:space="preserve">Facility 4 - Custom Hiring </v>
      </c>
      <c r="B31" s="82">
        <f>'15. Facility 4 Custom Hiring'!E56</f>
        <v>540000</v>
      </c>
      <c r="C31" s="82">
        <f>'15. Facility 4 Custom Hiring'!F56</f>
        <v>567000</v>
      </c>
      <c r="D31" s="82">
        <f>'15. Facility 4 Custom Hiring'!G56</f>
        <v>595350</v>
      </c>
      <c r="E31" s="82">
        <f>'15. Facility 4 Custom Hiring'!H56</f>
        <v>625117.50000000012</v>
      </c>
      <c r="F31" s="82">
        <f>'15. Facility 4 Custom Hiring'!I56</f>
        <v>656373.37500000012</v>
      </c>
      <c r="G31" s="82">
        <f>'15. Facility 4 Custom Hiring'!J56</f>
        <v>689192.04375000019</v>
      </c>
      <c r="H31" s="82">
        <f>'15. Facility 4 Custom Hiring'!K56</f>
        <v>723651.64593750029</v>
      </c>
    </row>
    <row r="32" spans="1:8" x14ac:dyDescent="0.25">
      <c r="A32" s="47" t="str">
        <f t="shared" si="3"/>
        <v>Facility 5 - Atta Chakki</v>
      </c>
      <c r="B32" s="82">
        <f>'16.Facility 5 Atta Chakki'!D164</f>
        <v>22000</v>
      </c>
      <c r="C32" s="82">
        <f>'16.Facility 5 Atta Chakki'!E164</f>
        <v>23100</v>
      </c>
      <c r="D32" s="82">
        <f>'16.Facility 5 Atta Chakki'!F164</f>
        <v>24255</v>
      </c>
      <c r="E32" s="82">
        <f>'16.Facility 5 Atta Chakki'!G164</f>
        <v>25467.750000000004</v>
      </c>
      <c r="F32" s="82">
        <f>'16.Facility 5 Atta Chakki'!H164</f>
        <v>26741.137500000004</v>
      </c>
      <c r="G32" s="82">
        <f>'16.Facility 5 Atta Chakki'!I164</f>
        <v>28078.194375000006</v>
      </c>
      <c r="H32" s="82">
        <f>'16.Facility 5 Atta Chakki'!J164</f>
        <v>29482.104093750011</v>
      </c>
    </row>
    <row r="33" spans="1:10" x14ac:dyDescent="0.25">
      <c r="A33" s="47" t="str">
        <f t="shared" si="3"/>
        <v>Facility 6 - Cattle Feed</v>
      </c>
      <c r="B33" s="82">
        <f>'17.Facility 6 Cattle Feed'!D106</f>
        <v>300000</v>
      </c>
      <c r="C33" s="82">
        <f>'17.Facility 6 Cattle Feed'!E106</f>
        <v>315000</v>
      </c>
      <c r="D33" s="82">
        <f>'17.Facility 6 Cattle Feed'!F106</f>
        <v>330750</v>
      </c>
      <c r="E33" s="82">
        <f>'17.Facility 6 Cattle Feed'!G106</f>
        <v>347287.50000000006</v>
      </c>
      <c r="F33" s="82">
        <f>'17.Facility 6 Cattle Feed'!H106</f>
        <v>364651.87500000006</v>
      </c>
      <c r="G33" s="82">
        <f>'17.Facility 6 Cattle Feed'!I106</f>
        <v>382884.46875000012</v>
      </c>
      <c r="H33" s="82">
        <f>'17.Facility 6 Cattle Feed'!J106</f>
        <v>402028.69218750013</v>
      </c>
    </row>
    <row r="34" spans="1:10" x14ac:dyDescent="0.25">
      <c r="A34" s="47"/>
      <c r="B34" s="82"/>
      <c r="C34" s="82"/>
      <c r="D34" s="82"/>
      <c r="E34" s="82"/>
      <c r="F34" s="82"/>
      <c r="G34" s="82"/>
      <c r="H34" s="82"/>
    </row>
    <row r="35" spans="1:10" x14ac:dyDescent="0.25">
      <c r="A35" s="47" t="s">
        <v>9</v>
      </c>
      <c r="B35" s="82">
        <f>'3.Other Exp &amp; Taxes'!E23</f>
        <v>2510669.1364500001</v>
      </c>
      <c r="C35" s="82">
        <f>'3.Other Exp &amp; Taxes'!F23</f>
        <v>2600671.6129000001</v>
      </c>
      <c r="D35" s="82">
        <f>'3.Other Exp &amp; Taxes'!G23</f>
        <v>2696084.08935</v>
      </c>
      <c r="E35" s="82">
        <f>'3.Other Exp &amp; Taxes'!H23</f>
        <v>2797177.0658000004</v>
      </c>
      <c r="F35" s="82">
        <f>'3.Other Exp &amp; Taxes'!I23</f>
        <v>2904234.5672500003</v>
      </c>
      <c r="G35" s="82">
        <f>'3.Other Exp &amp; Taxes'!J23</f>
        <v>3017554.8199500004</v>
      </c>
      <c r="H35" s="82">
        <f>'3.Other Exp &amp; Taxes'!K23</f>
        <v>3137450.9614625005</v>
      </c>
    </row>
    <row r="36" spans="1:10" x14ac:dyDescent="0.25">
      <c r="A36" s="78" t="s">
        <v>310</v>
      </c>
      <c r="B36" s="84">
        <f t="shared" ref="B36:H36" si="4">SUM(B28:B35)</f>
        <v>4152669.1364500001</v>
      </c>
      <c r="C36" s="84">
        <f t="shared" si="4"/>
        <v>4324771.6129000001</v>
      </c>
      <c r="D36" s="84">
        <f t="shared" si="4"/>
        <v>4506389.08935</v>
      </c>
      <c r="E36" s="84">
        <f t="shared" si="4"/>
        <v>4697997.3158000009</v>
      </c>
      <c r="F36" s="84">
        <f t="shared" si="4"/>
        <v>4900095.8297500005</v>
      </c>
      <c r="G36" s="84">
        <f t="shared" si="4"/>
        <v>5113209.1455750009</v>
      </c>
      <c r="H36" s="84">
        <f t="shared" si="4"/>
        <v>5337888.0033687511</v>
      </c>
    </row>
    <row r="37" spans="1:10" x14ac:dyDescent="0.25">
      <c r="A37" s="47"/>
      <c r="B37" s="82"/>
      <c r="C37" s="82"/>
      <c r="D37" s="82"/>
      <c r="E37" s="82"/>
      <c r="F37" s="82"/>
      <c r="G37" s="82"/>
      <c r="H37" s="82"/>
    </row>
    <row r="38" spans="1:10" x14ac:dyDescent="0.25">
      <c r="A38" s="78" t="s">
        <v>312</v>
      </c>
      <c r="B38" s="84">
        <f t="shared" ref="B38:H38" si="5">B25+B36</f>
        <v>71836631.148091763</v>
      </c>
      <c r="C38" s="84">
        <f t="shared" si="5"/>
        <v>87207817.957326159</v>
      </c>
      <c r="D38" s="84">
        <f t="shared" si="5"/>
        <v>106083196.44605112</v>
      </c>
      <c r="E38" s="84">
        <f t="shared" si="5"/>
        <v>124983016.24585451</v>
      </c>
      <c r="F38" s="84">
        <f t="shared" si="5"/>
        <v>145504103.47363746</v>
      </c>
      <c r="G38" s="84">
        <f t="shared" si="5"/>
        <v>167761595.42626563</v>
      </c>
      <c r="H38" s="84">
        <f t="shared" si="5"/>
        <v>192878089.96172109</v>
      </c>
    </row>
    <row r="39" spans="1:10" x14ac:dyDescent="0.25">
      <c r="A39" s="47"/>
      <c r="B39" s="82"/>
      <c r="C39" s="82"/>
      <c r="D39" s="82"/>
      <c r="E39" s="82"/>
      <c r="F39" s="82"/>
      <c r="G39" s="82"/>
      <c r="H39" s="82"/>
    </row>
    <row r="40" spans="1:10" x14ac:dyDescent="0.25">
      <c r="A40" s="78" t="s">
        <v>136</v>
      </c>
      <c r="B40" s="84">
        <f t="shared" ref="B40:H40" si="6">B15-B38</f>
        <v>4636415.2813082486</v>
      </c>
      <c r="C40" s="84">
        <f t="shared" si="6"/>
        <v>7828063.3848238438</v>
      </c>
      <c r="D40" s="84">
        <f t="shared" si="6"/>
        <v>8573984.1207763553</v>
      </c>
      <c r="E40" s="84">
        <f t="shared" si="6"/>
        <v>11020003.764762864</v>
      </c>
      <c r="F40" s="84">
        <f t="shared" si="6"/>
        <v>13692696.973731726</v>
      </c>
      <c r="G40" s="84">
        <f t="shared" si="6"/>
        <v>16608355.951504022</v>
      </c>
      <c r="H40" s="84">
        <f t="shared" si="6"/>
        <v>18784335.438370645</v>
      </c>
      <c r="J40" s="122">
        <f>B49+B42+B43</f>
        <v>2960316.1730927923</v>
      </c>
    </row>
    <row r="41" spans="1:10" x14ac:dyDescent="0.25">
      <c r="A41" s="47"/>
      <c r="B41" s="82"/>
      <c r="C41" s="82"/>
      <c r="D41" s="82"/>
      <c r="E41" s="82"/>
      <c r="F41" s="82"/>
      <c r="G41" s="82"/>
      <c r="H41" s="82"/>
      <c r="J41" s="39">
        <f>'5.Closing Stock &amp; W Capital'!E56</f>
        <v>474852.61210474686</v>
      </c>
    </row>
    <row r="42" spans="1:10" x14ac:dyDescent="0.25">
      <c r="A42" s="70" t="s">
        <v>17</v>
      </c>
      <c r="B42" s="82">
        <f>'3.Other Exp &amp; Taxes'!C66</f>
        <v>1819752.355</v>
      </c>
      <c r="C42" s="82">
        <f>'3.Other Exp &amp; Taxes'!D66</f>
        <v>1819752.355</v>
      </c>
      <c r="D42" s="82">
        <f>'3.Other Exp &amp; Taxes'!E66</f>
        <v>1819752.355</v>
      </c>
      <c r="E42" s="82">
        <f>'3.Other Exp &amp; Taxes'!F66</f>
        <v>1819752.355</v>
      </c>
      <c r="F42" s="82">
        <f>'3.Other Exp &amp; Taxes'!G66</f>
        <v>1819752.355</v>
      </c>
      <c r="G42" s="82">
        <f>'3.Other Exp &amp; Taxes'!H66</f>
        <v>1819752.355</v>
      </c>
      <c r="H42" s="82">
        <f>'3.Other Exp &amp; Taxes'!I66</f>
        <v>1819752.355</v>
      </c>
      <c r="J42" s="122">
        <f>J40+J41</f>
        <v>3435168.7851975393</v>
      </c>
    </row>
    <row r="43" spans="1:10" x14ac:dyDescent="0.25">
      <c r="A43" s="70" t="s">
        <v>137</v>
      </c>
      <c r="B43" s="82">
        <f>'3.Other Exp &amp; Taxes'!C86</f>
        <v>97000</v>
      </c>
      <c r="C43" s="82">
        <f>'3.Other Exp &amp; Taxes'!D86</f>
        <v>97000</v>
      </c>
      <c r="D43" s="82">
        <f>'3.Other Exp &amp; Taxes'!E86</f>
        <v>97000</v>
      </c>
      <c r="E43" s="82">
        <f>'3.Other Exp &amp; Taxes'!F86</f>
        <v>97000</v>
      </c>
      <c r="F43" s="82">
        <f>'3.Other Exp &amp; Taxes'!G86</f>
        <v>97000</v>
      </c>
      <c r="G43" s="82">
        <f>'3.Other Exp &amp; Taxes'!H86</f>
        <v>0</v>
      </c>
      <c r="H43" s="82">
        <f>'3.Other Exp &amp; Taxes'!I86</f>
        <v>0</v>
      </c>
    </row>
    <row r="44" spans="1:10" x14ac:dyDescent="0.25">
      <c r="A44" s="47"/>
      <c r="B44" s="82"/>
      <c r="C44" s="82"/>
      <c r="D44" s="82"/>
      <c r="E44" s="82"/>
      <c r="F44" s="82"/>
      <c r="G44" s="82"/>
      <c r="H44" s="82"/>
    </row>
    <row r="45" spans="1:10" x14ac:dyDescent="0.25">
      <c r="A45" s="78" t="s">
        <v>138</v>
      </c>
      <c r="B45" s="84">
        <f>B40-B42-B43</f>
        <v>2719662.9263082487</v>
      </c>
      <c r="C45" s="84">
        <f t="shared" ref="C45:H45" si="7">C40-C42-C43</f>
        <v>5911311.0298238434</v>
      </c>
      <c r="D45" s="84">
        <f t="shared" si="7"/>
        <v>6657231.7657763548</v>
      </c>
      <c r="E45" s="84">
        <f t="shared" si="7"/>
        <v>9103251.4097628631</v>
      </c>
      <c r="F45" s="84">
        <f t="shared" si="7"/>
        <v>11775944.618731726</v>
      </c>
      <c r="G45" s="84">
        <f t="shared" si="7"/>
        <v>14788603.596504021</v>
      </c>
      <c r="H45" s="84">
        <f t="shared" si="7"/>
        <v>16964583.083370645</v>
      </c>
    </row>
    <row r="46" spans="1:10" x14ac:dyDescent="0.25">
      <c r="A46" s="47"/>
      <c r="B46" s="82"/>
      <c r="C46" s="82"/>
      <c r="D46" s="82"/>
      <c r="E46" s="82"/>
      <c r="F46" s="82"/>
      <c r="G46" s="82"/>
      <c r="H46" s="82"/>
    </row>
    <row r="47" spans="1:10" x14ac:dyDescent="0.25">
      <c r="A47" s="47" t="s">
        <v>24</v>
      </c>
      <c r="B47" s="82">
        <f>'8.Cash Flow '!C27+'8.Cash Flow '!C29</f>
        <v>1676099.1082154564</v>
      </c>
      <c r="C47" s="82">
        <f>'8.Cash Flow '!D27+'8.Cash Flow '!D29</f>
        <v>1555681.851705709</v>
      </c>
      <c r="D47" s="82">
        <f>'8.Cash Flow '!E27+'8.Cash Flow '!E29</f>
        <v>1309494.6484826934</v>
      </c>
      <c r="E47" s="82">
        <f>'8.Cash Flow '!F27+'8.Cash Flow '!F29</f>
        <v>1029732.4366990256</v>
      </c>
      <c r="F47" s="82">
        <f>'8.Cash Flow '!G27+'8.Cash Flow '!G29</f>
        <v>711872.6067284313</v>
      </c>
      <c r="G47" s="82">
        <f>'8.Cash Flow '!H27+'8.Cash Flow '!H29</f>
        <v>560438.31915019697</v>
      </c>
      <c r="H47" s="82">
        <f>'8.Cash Flow '!I27+'8.Cash Flow '!I29</f>
        <v>644393.69734571863</v>
      </c>
    </row>
    <row r="48" spans="1:10" x14ac:dyDescent="0.25">
      <c r="A48" s="47"/>
      <c r="B48" s="82"/>
      <c r="C48" s="82"/>
      <c r="D48" s="82"/>
      <c r="E48" s="82"/>
      <c r="F48" s="82"/>
      <c r="G48" s="82"/>
      <c r="H48" s="82"/>
    </row>
    <row r="49" spans="1:9" x14ac:dyDescent="0.25">
      <c r="A49" s="47" t="s">
        <v>25</v>
      </c>
      <c r="B49" s="82">
        <f>B45-B47</f>
        <v>1043563.8180927923</v>
      </c>
      <c r="C49" s="82">
        <f t="shared" ref="C49:H49" si="8">C45-C47</f>
        <v>4355629.1781181339</v>
      </c>
      <c r="D49" s="82">
        <f t="shared" si="8"/>
        <v>5347737.1172936615</v>
      </c>
      <c r="E49" s="82">
        <f t="shared" si="8"/>
        <v>8073518.9730638377</v>
      </c>
      <c r="F49" s="82">
        <f t="shared" si="8"/>
        <v>11064072.012003295</v>
      </c>
      <c r="G49" s="82">
        <f t="shared" si="8"/>
        <v>14228165.277353825</v>
      </c>
      <c r="H49" s="82">
        <f t="shared" si="8"/>
        <v>16320189.386024926</v>
      </c>
    </row>
    <row r="50" spans="1:9" x14ac:dyDescent="0.25">
      <c r="A50" s="47" t="s">
        <v>26</v>
      </c>
      <c r="B50" s="82">
        <f>'3.Other Exp &amp; Taxes'!B99</f>
        <v>0</v>
      </c>
      <c r="C50" s="82">
        <f>'3.Other Exp &amp; Taxes'!C99</f>
        <v>574265.63496071496</v>
      </c>
      <c r="D50" s="82">
        <f>'3.Other Exp &amp; Taxes'!D99</f>
        <v>973961.30953385215</v>
      </c>
      <c r="E50" s="82">
        <f>'3.Other Exp &amp; Taxes'!E99</f>
        <v>1801181.4946794731</v>
      </c>
      <c r="F50" s="82">
        <f>'3.Other Exp &amp; Taxes'!F99</f>
        <v>2678998.4659267007</v>
      </c>
      <c r="G50" s="82">
        <f>'3.Other Exp &amp; Taxes'!G99</f>
        <v>3587258.665423322</v>
      </c>
      <c r="H50" s="82">
        <f>'3.Other Exp &amp; Taxes'!H99</f>
        <v>4204738.8519417327</v>
      </c>
    </row>
    <row r="51" spans="1:9" x14ac:dyDescent="0.25">
      <c r="A51" s="78" t="s">
        <v>28</v>
      </c>
      <c r="B51" s="82">
        <f>B49-B50</f>
        <v>1043563.8180927923</v>
      </c>
      <c r="C51" s="82">
        <f>C49-C50</f>
        <v>3781363.5431574192</v>
      </c>
      <c r="D51" s="82">
        <f>D49-D50</f>
        <v>4373775.8077598093</v>
      </c>
      <c r="E51" s="82">
        <f>E49-E50</f>
        <v>6272337.4783843644</v>
      </c>
      <c r="F51" s="82">
        <f>F49-F50</f>
        <v>8385073.5460765939</v>
      </c>
      <c r="G51" s="82">
        <f t="shared" ref="G51:H51" si="9">G49-G50</f>
        <v>10640906.611930503</v>
      </c>
      <c r="H51" s="82">
        <f t="shared" si="9"/>
        <v>12115450.534083193</v>
      </c>
    </row>
    <row r="52" spans="1:9" x14ac:dyDescent="0.25">
      <c r="B52" s="118"/>
      <c r="C52" s="118"/>
      <c r="D52" s="118"/>
      <c r="E52" s="118"/>
      <c r="F52" s="118"/>
      <c r="G52" s="118"/>
      <c r="H52" s="118"/>
    </row>
    <row r="53" spans="1:9" x14ac:dyDescent="0.25">
      <c r="A53" s="39" t="s">
        <v>477</v>
      </c>
      <c r="B53" s="118">
        <f>B51</f>
        <v>1043563.8180927923</v>
      </c>
      <c r="C53" s="118">
        <f t="shared" ref="C53:H53" si="10">B53+C51</f>
        <v>4824927.3612502115</v>
      </c>
      <c r="D53" s="118">
        <f t="shared" si="10"/>
        <v>9198703.1690100208</v>
      </c>
      <c r="E53" s="118">
        <f t="shared" si="10"/>
        <v>15471040.647394385</v>
      </c>
      <c r="F53" s="118">
        <f t="shared" si="10"/>
        <v>23856114.193470977</v>
      </c>
      <c r="G53" s="118">
        <f t="shared" si="10"/>
        <v>34497020.805401482</v>
      </c>
      <c r="H53" s="118">
        <f t="shared" si="10"/>
        <v>46612471.339484677</v>
      </c>
    </row>
    <row r="56" spans="1:9" ht="32.450000000000003" customHeight="1" x14ac:dyDescent="0.25">
      <c r="A56" s="449" t="s">
        <v>384</v>
      </c>
      <c r="B56" s="449"/>
      <c r="C56" s="449"/>
      <c r="D56" s="449"/>
      <c r="E56" s="449"/>
      <c r="F56" s="449"/>
      <c r="G56" s="449"/>
      <c r="H56" s="449"/>
      <c r="I56" s="449"/>
    </row>
    <row r="58" spans="1:9" x14ac:dyDescent="0.25">
      <c r="A58" s="258"/>
    </row>
  </sheetData>
  <mergeCells count="2">
    <mergeCell ref="A2:H2"/>
    <mergeCell ref="A56:I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opLeftCell="A25" workbookViewId="0">
      <selection activeCell="A4" sqref="A4:H43"/>
    </sheetView>
  </sheetViews>
  <sheetFormatPr defaultRowHeight="15" x14ac:dyDescent="0.25"/>
  <cols>
    <col min="1" max="1" width="37.28515625" style="223" customWidth="1"/>
    <col min="2" max="2" width="18.42578125" style="223" bestFit="1" customWidth="1"/>
    <col min="3" max="3" width="12.42578125" style="223" bestFit="1" customWidth="1"/>
    <col min="4" max="6" width="13.5703125" style="223" bestFit="1" customWidth="1"/>
    <col min="7" max="8" width="12.42578125" style="223" bestFit="1" customWidth="1"/>
    <col min="9" max="9" width="9.140625" style="223"/>
    <col min="10" max="10" width="32.85546875" style="223" bestFit="1" customWidth="1"/>
    <col min="11" max="16" width="8.7109375" style="223" bestFit="1"/>
    <col min="17" max="17" width="10.140625" style="223" bestFit="1" customWidth="1"/>
    <col min="18" max="256" width="9.140625" style="223"/>
    <col min="257" max="257" width="37.28515625" style="223" customWidth="1"/>
    <col min="258" max="258" width="18.42578125" style="223" bestFit="1" customWidth="1"/>
    <col min="259" max="262" width="12.42578125" style="223" bestFit="1" customWidth="1"/>
    <col min="263" max="263" width="11.7109375" style="223" bestFit="1" customWidth="1"/>
    <col min="264" max="512" width="9.140625" style="223"/>
    <col min="513" max="513" width="37.28515625" style="223" customWidth="1"/>
    <col min="514" max="514" width="18.42578125" style="223" bestFit="1" customWidth="1"/>
    <col min="515" max="518" width="12.42578125" style="223" bestFit="1" customWidth="1"/>
    <col min="519" max="519" width="11.7109375" style="223" bestFit="1" customWidth="1"/>
    <col min="520" max="768" width="9.140625" style="223"/>
    <col min="769" max="769" width="37.28515625" style="223" customWidth="1"/>
    <col min="770" max="770" width="18.42578125" style="223" bestFit="1" customWidth="1"/>
    <col min="771" max="774" width="12.42578125" style="223" bestFit="1" customWidth="1"/>
    <col min="775" max="775" width="11.7109375" style="223" bestFit="1" customWidth="1"/>
    <col min="776" max="1024" width="9.140625" style="223"/>
    <col min="1025" max="1025" width="37.28515625" style="223" customWidth="1"/>
    <col min="1026" max="1026" width="18.42578125" style="223" bestFit="1" customWidth="1"/>
    <col min="1027" max="1030" width="12.42578125" style="223" bestFit="1" customWidth="1"/>
    <col min="1031" max="1031" width="11.7109375" style="223" bestFit="1" customWidth="1"/>
    <col min="1032" max="1280" width="9.140625" style="223"/>
    <col min="1281" max="1281" width="37.28515625" style="223" customWidth="1"/>
    <col min="1282" max="1282" width="18.42578125" style="223" bestFit="1" customWidth="1"/>
    <col min="1283" max="1286" width="12.42578125" style="223" bestFit="1" customWidth="1"/>
    <col min="1287" max="1287" width="11.7109375" style="223" bestFit="1" customWidth="1"/>
    <col min="1288" max="1536" width="9.140625" style="223"/>
    <col min="1537" max="1537" width="37.28515625" style="223" customWidth="1"/>
    <col min="1538" max="1538" width="18.42578125" style="223" bestFit="1" customWidth="1"/>
    <col min="1539" max="1542" width="12.42578125" style="223" bestFit="1" customWidth="1"/>
    <col min="1543" max="1543" width="11.7109375" style="223" bestFit="1" customWidth="1"/>
    <col min="1544" max="1792" width="9.140625" style="223"/>
    <col min="1793" max="1793" width="37.28515625" style="223" customWidth="1"/>
    <col min="1794" max="1794" width="18.42578125" style="223" bestFit="1" customWidth="1"/>
    <col min="1795" max="1798" width="12.42578125" style="223" bestFit="1" customWidth="1"/>
    <col min="1799" max="1799" width="11.7109375" style="223" bestFit="1" customWidth="1"/>
    <col min="1800" max="2048" width="9.140625" style="223"/>
    <col min="2049" max="2049" width="37.28515625" style="223" customWidth="1"/>
    <col min="2050" max="2050" width="18.42578125" style="223" bestFit="1" customWidth="1"/>
    <col min="2051" max="2054" width="12.42578125" style="223" bestFit="1" customWidth="1"/>
    <col min="2055" max="2055" width="11.7109375" style="223" bestFit="1" customWidth="1"/>
    <col min="2056" max="2304" width="9.140625" style="223"/>
    <col min="2305" max="2305" width="37.28515625" style="223" customWidth="1"/>
    <col min="2306" max="2306" width="18.42578125" style="223" bestFit="1" customWidth="1"/>
    <col min="2307" max="2310" width="12.42578125" style="223" bestFit="1" customWidth="1"/>
    <col min="2311" max="2311" width="11.7109375" style="223" bestFit="1" customWidth="1"/>
    <col min="2312" max="2560" width="9.140625" style="223"/>
    <col min="2561" max="2561" width="37.28515625" style="223" customWidth="1"/>
    <col min="2562" max="2562" width="18.42578125" style="223" bestFit="1" customWidth="1"/>
    <col min="2563" max="2566" width="12.42578125" style="223" bestFit="1" customWidth="1"/>
    <col min="2567" max="2567" width="11.7109375" style="223" bestFit="1" customWidth="1"/>
    <col min="2568" max="2816" width="9.140625" style="223"/>
    <col min="2817" max="2817" width="37.28515625" style="223" customWidth="1"/>
    <col min="2818" max="2818" width="18.42578125" style="223" bestFit="1" customWidth="1"/>
    <col min="2819" max="2822" width="12.42578125" style="223" bestFit="1" customWidth="1"/>
    <col min="2823" max="2823" width="11.7109375" style="223" bestFit="1" customWidth="1"/>
    <col min="2824" max="3072" width="9.140625" style="223"/>
    <col min="3073" max="3073" width="37.28515625" style="223" customWidth="1"/>
    <col min="3074" max="3074" width="18.42578125" style="223" bestFit="1" customWidth="1"/>
    <col min="3075" max="3078" width="12.42578125" style="223" bestFit="1" customWidth="1"/>
    <col min="3079" max="3079" width="11.7109375" style="223" bestFit="1" customWidth="1"/>
    <col min="3080" max="3328" width="9.140625" style="223"/>
    <col min="3329" max="3329" width="37.28515625" style="223" customWidth="1"/>
    <col min="3330" max="3330" width="18.42578125" style="223" bestFit="1" customWidth="1"/>
    <col min="3331" max="3334" width="12.42578125" style="223" bestFit="1" customWidth="1"/>
    <col min="3335" max="3335" width="11.7109375" style="223" bestFit="1" customWidth="1"/>
    <col min="3336" max="3584" width="9.140625" style="223"/>
    <col min="3585" max="3585" width="37.28515625" style="223" customWidth="1"/>
    <col min="3586" max="3586" width="18.42578125" style="223" bestFit="1" customWidth="1"/>
    <col min="3587" max="3590" width="12.42578125" style="223" bestFit="1" customWidth="1"/>
    <col min="3591" max="3591" width="11.7109375" style="223" bestFit="1" customWidth="1"/>
    <col min="3592" max="3840" width="9.140625" style="223"/>
    <col min="3841" max="3841" width="37.28515625" style="223" customWidth="1"/>
    <col min="3842" max="3842" width="18.42578125" style="223" bestFit="1" customWidth="1"/>
    <col min="3843" max="3846" width="12.42578125" style="223" bestFit="1" customWidth="1"/>
    <col min="3847" max="3847" width="11.7109375" style="223" bestFit="1" customWidth="1"/>
    <col min="3848" max="4096" width="9.140625" style="223"/>
    <col min="4097" max="4097" width="37.28515625" style="223" customWidth="1"/>
    <col min="4098" max="4098" width="18.42578125" style="223" bestFit="1" customWidth="1"/>
    <col min="4099" max="4102" width="12.42578125" style="223" bestFit="1" customWidth="1"/>
    <col min="4103" max="4103" width="11.7109375" style="223" bestFit="1" customWidth="1"/>
    <col min="4104" max="4352" width="9.140625" style="223"/>
    <col min="4353" max="4353" width="37.28515625" style="223" customWidth="1"/>
    <col min="4354" max="4354" width="18.42578125" style="223" bestFit="1" customWidth="1"/>
    <col min="4355" max="4358" width="12.42578125" style="223" bestFit="1" customWidth="1"/>
    <col min="4359" max="4359" width="11.7109375" style="223" bestFit="1" customWidth="1"/>
    <col min="4360" max="4608" width="9.140625" style="223"/>
    <col min="4609" max="4609" width="37.28515625" style="223" customWidth="1"/>
    <col min="4610" max="4610" width="18.42578125" style="223" bestFit="1" customWidth="1"/>
    <col min="4611" max="4614" width="12.42578125" style="223" bestFit="1" customWidth="1"/>
    <col min="4615" max="4615" width="11.7109375" style="223" bestFit="1" customWidth="1"/>
    <col min="4616" max="4864" width="9.140625" style="223"/>
    <col min="4865" max="4865" width="37.28515625" style="223" customWidth="1"/>
    <col min="4866" max="4866" width="18.42578125" style="223" bestFit="1" customWidth="1"/>
    <col min="4867" max="4870" width="12.42578125" style="223" bestFit="1" customWidth="1"/>
    <col min="4871" max="4871" width="11.7109375" style="223" bestFit="1" customWidth="1"/>
    <col min="4872" max="5120" width="9.140625" style="223"/>
    <col min="5121" max="5121" width="37.28515625" style="223" customWidth="1"/>
    <col min="5122" max="5122" width="18.42578125" style="223" bestFit="1" customWidth="1"/>
    <col min="5123" max="5126" width="12.42578125" style="223" bestFit="1" customWidth="1"/>
    <col min="5127" max="5127" width="11.7109375" style="223" bestFit="1" customWidth="1"/>
    <col min="5128" max="5376" width="9.140625" style="223"/>
    <col min="5377" max="5377" width="37.28515625" style="223" customWidth="1"/>
    <col min="5378" max="5378" width="18.42578125" style="223" bestFit="1" customWidth="1"/>
    <col min="5379" max="5382" width="12.42578125" style="223" bestFit="1" customWidth="1"/>
    <col min="5383" max="5383" width="11.7109375" style="223" bestFit="1" customWidth="1"/>
    <col min="5384" max="5632" width="9.140625" style="223"/>
    <col min="5633" max="5633" width="37.28515625" style="223" customWidth="1"/>
    <col min="5634" max="5634" width="18.42578125" style="223" bestFit="1" customWidth="1"/>
    <col min="5635" max="5638" width="12.42578125" style="223" bestFit="1" customWidth="1"/>
    <col min="5639" max="5639" width="11.7109375" style="223" bestFit="1" customWidth="1"/>
    <col min="5640" max="5888" width="9.140625" style="223"/>
    <col min="5889" max="5889" width="37.28515625" style="223" customWidth="1"/>
    <col min="5890" max="5890" width="18.42578125" style="223" bestFit="1" customWidth="1"/>
    <col min="5891" max="5894" width="12.42578125" style="223" bestFit="1" customWidth="1"/>
    <col min="5895" max="5895" width="11.7109375" style="223" bestFit="1" customWidth="1"/>
    <col min="5896" max="6144" width="9.140625" style="223"/>
    <col min="6145" max="6145" width="37.28515625" style="223" customWidth="1"/>
    <col min="6146" max="6146" width="18.42578125" style="223" bestFit="1" customWidth="1"/>
    <col min="6147" max="6150" width="12.42578125" style="223" bestFit="1" customWidth="1"/>
    <col min="6151" max="6151" width="11.7109375" style="223" bestFit="1" customWidth="1"/>
    <col min="6152" max="6400" width="9.140625" style="223"/>
    <col min="6401" max="6401" width="37.28515625" style="223" customWidth="1"/>
    <col min="6402" max="6402" width="18.42578125" style="223" bestFit="1" customWidth="1"/>
    <col min="6403" max="6406" width="12.42578125" style="223" bestFit="1" customWidth="1"/>
    <col min="6407" max="6407" width="11.7109375" style="223" bestFit="1" customWidth="1"/>
    <col min="6408" max="6656" width="9.140625" style="223"/>
    <col min="6657" max="6657" width="37.28515625" style="223" customWidth="1"/>
    <col min="6658" max="6658" width="18.42578125" style="223" bestFit="1" customWidth="1"/>
    <col min="6659" max="6662" width="12.42578125" style="223" bestFit="1" customWidth="1"/>
    <col min="6663" max="6663" width="11.7109375" style="223" bestFit="1" customWidth="1"/>
    <col min="6664" max="6912" width="9.140625" style="223"/>
    <col min="6913" max="6913" width="37.28515625" style="223" customWidth="1"/>
    <col min="6914" max="6914" width="18.42578125" style="223" bestFit="1" customWidth="1"/>
    <col min="6915" max="6918" width="12.42578125" style="223" bestFit="1" customWidth="1"/>
    <col min="6919" max="6919" width="11.7109375" style="223" bestFit="1" customWidth="1"/>
    <col min="6920" max="7168" width="9.140625" style="223"/>
    <col min="7169" max="7169" width="37.28515625" style="223" customWidth="1"/>
    <col min="7170" max="7170" width="18.42578125" style="223" bestFit="1" customWidth="1"/>
    <col min="7171" max="7174" width="12.42578125" style="223" bestFit="1" customWidth="1"/>
    <col min="7175" max="7175" width="11.7109375" style="223" bestFit="1" customWidth="1"/>
    <col min="7176" max="7424" width="9.140625" style="223"/>
    <col min="7425" max="7425" width="37.28515625" style="223" customWidth="1"/>
    <col min="7426" max="7426" width="18.42578125" style="223" bestFit="1" customWidth="1"/>
    <col min="7427" max="7430" width="12.42578125" style="223" bestFit="1" customWidth="1"/>
    <col min="7431" max="7431" width="11.7109375" style="223" bestFit="1" customWidth="1"/>
    <col min="7432" max="7680" width="9.140625" style="223"/>
    <col min="7681" max="7681" width="37.28515625" style="223" customWidth="1"/>
    <col min="7682" max="7682" width="18.42578125" style="223" bestFit="1" customWidth="1"/>
    <col min="7683" max="7686" width="12.42578125" style="223" bestFit="1" customWidth="1"/>
    <col min="7687" max="7687" width="11.7109375" style="223" bestFit="1" customWidth="1"/>
    <col min="7688" max="7936" width="9.140625" style="223"/>
    <col min="7937" max="7937" width="37.28515625" style="223" customWidth="1"/>
    <col min="7938" max="7938" width="18.42578125" style="223" bestFit="1" customWidth="1"/>
    <col min="7939" max="7942" width="12.42578125" style="223" bestFit="1" customWidth="1"/>
    <col min="7943" max="7943" width="11.7109375" style="223" bestFit="1" customWidth="1"/>
    <col min="7944" max="8192" width="9.140625" style="223"/>
    <col min="8193" max="8193" width="37.28515625" style="223" customWidth="1"/>
    <col min="8194" max="8194" width="18.42578125" style="223" bestFit="1" customWidth="1"/>
    <col min="8195" max="8198" width="12.42578125" style="223" bestFit="1" customWidth="1"/>
    <col min="8199" max="8199" width="11.7109375" style="223" bestFit="1" customWidth="1"/>
    <col min="8200" max="8448" width="9.140625" style="223"/>
    <col min="8449" max="8449" width="37.28515625" style="223" customWidth="1"/>
    <col min="8450" max="8450" width="18.42578125" style="223" bestFit="1" customWidth="1"/>
    <col min="8451" max="8454" width="12.42578125" style="223" bestFit="1" customWidth="1"/>
    <col min="8455" max="8455" width="11.7109375" style="223" bestFit="1" customWidth="1"/>
    <col min="8456" max="8704" width="9.140625" style="223"/>
    <col min="8705" max="8705" width="37.28515625" style="223" customWidth="1"/>
    <col min="8706" max="8706" width="18.42578125" style="223" bestFit="1" customWidth="1"/>
    <col min="8707" max="8710" width="12.42578125" style="223" bestFit="1" customWidth="1"/>
    <col min="8711" max="8711" width="11.7109375" style="223" bestFit="1" customWidth="1"/>
    <col min="8712" max="8960" width="9.140625" style="223"/>
    <col min="8961" max="8961" width="37.28515625" style="223" customWidth="1"/>
    <col min="8962" max="8962" width="18.42578125" style="223" bestFit="1" customWidth="1"/>
    <col min="8963" max="8966" width="12.42578125" style="223" bestFit="1" customWidth="1"/>
    <col min="8967" max="8967" width="11.7109375" style="223" bestFit="1" customWidth="1"/>
    <col min="8968" max="9216" width="9.140625" style="223"/>
    <col min="9217" max="9217" width="37.28515625" style="223" customWidth="1"/>
    <col min="9218" max="9218" width="18.42578125" style="223" bestFit="1" customWidth="1"/>
    <col min="9219" max="9222" width="12.42578125" style="223" bestFit="1" customWidth="1"/>
    <col min="9223" max="9223" width="11.7109375" style="223" bestFit="1" customWidth="1"/>
    <col min="9224" max="9472" width="9.140625" style="223"/>
    <col min="9473" max="9473" width="37.28515625" style="223" customWidth="1"/>
    <col min="9474" max="9474" width="18.42578125" style="223" bestFit="1" customWidth="1"/>
    <col min="9475" max="9478" width="12.42578125" style="223" bestFit="1" customWidth="1"/>
    <col min="9479" max="9479" width="11.7109375" style="223" bestFit="1" customWidth="1"/>
    <col min="9480" max="9728" width="9.140625" style="223"/>
    <col min="9729" max="9729" width="37.28515625" style="223" customWidth="1"/>
    <col min="9730" max="9730" width="18.42578125" style="223" bestFit="1" customWidth="1"/>
    <col min="9731" max="9734" width="12.42578125" style="223" bestFit="1" customWidth="1"/>
    <col min="9735" max="9735" width="11.7109375" style="223" bestFit="1" customWidth="1"/>
    <col min="9736" max="9984" width="9.140625" style="223"/>
    <col min="9985" max="9985" width="37.28515625" style="223" customWidth="1"/>
    <col min="9986" max="9986" width="18.42578125" style="223" bestFit="1" customWidth="1"/>
    <col min="9987" max="9990" width="12.42578125" style="223" bestFit="1" customWidth="1"/>
    <col min="9991" max="9991" width="11.7109375" style="223" bestFit="1" customWidth="1"/>
    <col min="9992" max="10240" width="9.140625" style="223"/>
    <col min="10241" max="10241" width="37.28515625" style="223" customWidth="1"/>
    <col min="10242" max="10242" width="18.42578125" style="223" bestFit="1" customWidth="1"/>
    <col min="10243" max="10246" width="12.42578125" style="223" bestFit="1" customWidth="1"/>
    <col min="10247" max="10247" width="11.7109375" style="223" bestFit="1" customWidth="1"/>
    <col min="10248" max="10496" width="9.140625" style="223"/>
    <col min="10497" max="10497" width="37.28515625" style="223" customWidth="1"/>
    <col min="10498" max="10498" width="18.42578125" style="223" bestFit="1" customWidth="1"/>
    <col min="10499" max="10502" width="12.42578125" style="223" bestFit="1" customWidth="1"/>
    <col min="10503" max="10503" width="11.7109375" style="223" bestFit="1" customWidth="1"/>
    <col min="10504" max="10752" width="9.140625" style="223"/>
    <col min="10753" max="10753" width="37.28515625" style="223" customWidth="1"/>
    <col min="10754" max="10754" width="18.42578125" style="223" bestFit="1" customWidth="1"/>
    <col min="10755" max="10758" width="12.42578125" style="223" bestFit="1" customWidth="1"/>
    <col min="10759" max="10759" width="11.7109375" style="223" bestFit="1" customWidth="1"/>
    <col min="10760" max="11008" width="9.140625" style="223"/>
    <col min="11009" max="11009" width="37.28515625" style="223" customWidth="1"/>
    <col min="11010" max="11010" width="18.42578125" style="223" bestFit="1" customWidth="1"/>
    <col min="11011" max="11014" width="12.42578125" style="223" bestFit="1" customWidth="1"/>
    <col min="11015" max="11015" width="11.7109375" style="223" bestFit="1" customWidth="1"/>
    <col min="11016" max="11264" width="9.140625" style="223"/>
    <col min="11265" max="11265" width="37.28515625" style="223" customWidth="1"/>
    <col min="11266" max="11266" width="18.42578125" style="223" bestFit="1" customWidth="1"/>
    <col min="11267" max="11270" width="12.42578125" style="223" bestFit="1" customWidth="1"/>
    <col min="11271" max="11271" width="11.7109375" style="223" bestFit="1" customWidth="1"/>
    <col min="11272" max="11520" width="9.140625" style="223"/>
    <col min="11521" max="11521" width="37.28515625" style="223" customWidth="1"/>
    <col min="11522" max="11522" width="18.42578125" style="223" bestFit="1" customWidth="1"/>
    <col min="11523" max="11526" width="12.42578125" style="223" bestFit="1" customWidth="1"/>
    <col min="11527" max="11527" width="11.7109375" style="223" bestFit="1" customWidth="1"/>
    <col min="11528" max="11776" width="9.140625" style="223"/>
    <col min="11777" max="11777" width="37.28515625" style="223" customWidth="1"/>
    <col min="11778" max="11778" width="18.42578125" style="223" bestFit="1" customWidth="1"/>
    <col min="11779" max="11782" width="12.42578125" style="223" bestFit="1" customWidth="1"/>
    <col min="11783" max="11783" width="11.7109375" style="223" bestFit="1" customWidth="1"/>
    <col min="11784" max="12032" width="9.140625" style="223"/>
    <col min="12033" max="12033" width="37.28515625" style="223" customWidth="1"/>
    <col min="12034" max="12034" width="18.42578125" style="223" bestFit="1" customWidth="1"/>
    <col min="12035" max="12038" width="12.42578125" style="223" bestFit="1" customWidth="1"/>
    <col min="12039" max="12039" width="11.7109375" style="223" bestFit="1" customWidth="1"/>
    <col min="12040" max="12288" width="9.140625" style="223"/>
    <col min="12289" max="12289" width="37.28515625" style="223" customWidth="1"/>
    <col min="12290" max="12290" width="18.42578125" style="223" bestFit="1" customWidth="1"/>
    <col min="12291" max="12294" width="12.42578125" style="223" bestFit="1" customWidth="1"/>
    <col min="12295" max="12295" width="11.7109375" style="223" bestFit="1" customWidth="1"/>
    <col min="12296" max="12544" width="9.140625" style="223"/>
    <col min="12545" max="12545" width="37.28515625" style="223" customWidth="1"/>
    <col min="12546" max="12546" width="18.42578125" style="223" bestFit="1" customWidth="1"/>
    <col min="12547" max="12550" width="12.42578125" style="223" bestFit="1" customWidth="1"/>
    <col min="12551" max="12551" width="11.7109375" style="223" bestFit="1" customWidth="1"/>
    <col min="12552" max="12800" width="9.140625" style="223"/>
    <col min="12801" max="12801" width="37.28515625" style="223" customWidth="1"/>
    <col min="12802" max="12802" width="18.42578125" style="223" bestFit="1" customWidth="1"/>
    <col min="12803" max="12806" width="12.42578125" style="223" bestFit="1" customWidth="1"/>
    <col min="12807" max="12807" width="11.7109375" style="223" bestFit="1" customWidth="1"/>
    <col min="12808" max="13056" width="9.140625" style="223"/>
    <col min="13057" max="13057" width="37.28515625" style="223" customWidth="1"/>
    <col min="13058" max="13058" width="18.42578125" style="223" bestFit="1" customWidth="1"/>
    <col min="13059" max="13062" width="12.42578125" style="223" bestFit="1" customWidth="1"/>
    <col min="13063" max="13063" width="11.7109375" style="223" bestFit="1" customWidth="1"/>
    <col min="13064" max="13312" width="9.140625" style="223"/>
    <col min="13313" max="13313" width="37.28515625" style="223" customWidth="1"/>
    <col min="13314" max="13314" width="18.42578125" style="223" bestFit="1" customWidth="1"/>
    <col min="13315" max="13318" width="12.42578125" style="223" bestFit="1" customWidth="1"/>
    <col min="13319" max="13319" width="11.7109375" style="223" bestFit="1" customWidth="1"/>
    <col min="13320" max="13568" width="9.140625" style="223"/>
    <col min="13569" max="13569" width="37.28515625" style="223" customWidth="1"/>
    <col min="13570" max="13570" width="18.42578125" style="223" bestFit="1" customWidth="1"/>
    <col min="13571" max="13574" width="12.42578125" style="223" bestFit="1" customWidth="1"/>
    <col min="13575" max="13575" width="11.7109375" style="223" bestFit="1" customWidth="1"/>
    <col min="13576" max="13824" width="9.140625" style="223"/>
    <col min="13825" max="13825" width="37.28515625" style="223" customWidth="1"/>
    <col min="13826" max="13826" width="18.42578125" style="223" bestFit="1" customWidth="1"/>
    <col min="13827" max="13830" width="12.42578125" style="223" bestFit="1" customWidth="1"/>
    <col min="13831" max="13831" width="11.7109375" style="223" bestFit="1" customWidth="1"/>
    <col min="13832" max="14080" width="9.140625" style="223"/>
    <col min="14081" max="14081" width="37.28515625" style="223" customWidth="1"/>
    <col min="14082" max="14082" width="18.42578125" style="223" bestFit="1" customWidth="1"/>
    <col min="14083" max="14086" width="12.42578125" style="223" bestFit="1" customWidth="1"/>
    <col min="14087" max="14087" width="11.7109375" style="223" bestFit="1" customWidth="1"/>
    <col min="14088" max="14336" width="9.140625" style="223"/>
    <col min="14337" max="14337" width="37.28515625" style="223" customWidth="1"/>
    <col min="14338" max="14338" width="18.42578125" style="223" bestFit="1" customWidth="1"/>
    <col min="14339" max="14342" width="12.42578125" style="223" bestFit="1" customWidth="1"/>
    <col min="14343" max="14343" width="11.7109375" style="223" bestFit="1" customWidth="1"/>
    <col min="14344" max="14592" width="9.140625" style="223"/>
    <col min="14593" max="14593" width="37.28515625" style="223" customWidth="1"/>
    <col min="14594" max="14594" width="18.42578125" style="223" bestFit="1" customWidth="1"/>
    <col min="14595" max="14598" width="12.42578125" style="223" bestFit="1" customWidth="1"/>
    <col min="14599" max="14599" width="11.7109375" style="223" bestFit="1" customWidth="1"/>
    <col min="14600" max="14848" width="9.140625" style="223"/>
    <col min="14849" max="14849" width="37.28515625" style="223" customWidth="1"/>
    <col min="14850" max="14850" width="18.42578125" style="223" bestFit="1" customWidth="1"/>
    <col min="14851" max="14854" width="12.42578125" style="223" bestFit="1" customWidth="1"/>
    <col min="14855" max="14855" width="11.7109375" style="223" bestFit="1" customWidth="1"/>
    <col min="14856" max="15104" width="9.140625" style="223"/>
    <col min="15105" max="15105" width="37.28515625" style="223" customWidth="1"/>
    <col min="15106" max="15106" width="18.42578125" style="223" bestFit="1" customWidth="1"/>
    <col min="15107" max="15110" width="12.42578125" style="223" bestFit="1" customWidth="1"/>
    <col min="15111" max="15111" width="11.7109375" style="223" bestFit="1" customWidth="1"/>
    <col min="15112" max="15360" width="9.140625" style="223"/>
    <col min="15361" max="15361" width="37.28515625" style="223" customWidth="1"/>
    <col min="15362" max="15362" width="18.42578125" style="223" bestFit="1" customWidth="1"/>
    <col min="15363" max="15366" width="12.42578125" style="223" bestFit="1" customWidth="1"/>
    <col min="15367" max="15367" width="11.7109375" style="223" bestFit="1" customWidth="1"/>
    <col min="15368" max="15616" width="9.140625" style="223"/>
    <col min="15617" max="15617" width="37.28515625" style="223" customWidth="1"/>
    <col min="15618" max="15618" width="18.42578125" style="223" bestFit="1" customWidth="1"/>
    <col min="15619" max="15622" width="12.42578125" style="223" bestFit="1" customWidth="1"/>
    <col min="15623" max="15623" width="11.7109375" style="223" bestFit="1" customWidth="1"/>
    <col min="15624" max="15872" width="9.140625" style="223"/>
    <col min="15873" max="15873" width="37.28515625" style="223" customWidth="1"/>
    <col min="15874" max="15874" width="18.42578125" style="223" bestFit="1" customWidth="1"/>
    <col min="15875" max="15878" width="12.42578125" style="223" bestFit="1" customWidth="1"/>
    <col min="15879" max="15879" width="11.7109375" style="223" bestFit="1" customWidth="1"/>
    <col min="15880" max="16128" width="9.140625" style="223"/>
    <col min="16129" max="16129" width="37.28515625" style="223" customWidth="1"/>
    <col min="16130" max="16130" width="18.42578125" style="223" bestFit="1" customWidth="1"/>
    <col min="16131" max="16134" width="12.42578125" style="223" bestFit="1" customWidth="1"/>
    <col min="16135" max="16135" width="11.7109375" style="223" bestFit="1" customWidth="1"/>
    <col min="16136" max="16384" width="9.140625" style="223"/>
  </cols>
  <sheetData>
    <row r="1" spans="1:18" ht="14.45" x14ac:dyDescent="0.35">
      <c r="A1" s="434"/>
      <c r="B1" s="434"/>
      <c r="C1" s="434"/>
      <c r="D1" s="434"/>
      <c r="E1" s="434"/>
      <c r="F1" s="434"/>
    </row>
    <row r="2" spans="1:18" ht="14.45" x14ac:dyDescent="0.35">
      <c r="A2" s="450" t="s">
        <v>518</v>
      </c>
      <c r="B2" s="425"/>
      <c r="C2" s="425"/>
      <c r="D2" s="425"/>
      <c r="E2" s="425"/>
      <c r="F2" s="425"/>
      <c r="G2" s="425"/>
      <c r="H2" s="425"/>
      <c r="I2" s="206"/>
    </row>
    <row r="3" spans="1:18" ht="14.45" x14ac:dyDescent="0.35">
      <c r="A3" s="224"/>
      <c r="B3" s="225"/>
      <c r="C3" s="225"/>
      <c r="D3" s="225"/>
      <c r="E3" s="225"/>
      <c r="F3" s="225"/>
    </row>
    <row r="4" spans="1:18" ht="14.45" x14ac:dyDescent="0.35">
      <c r="A4" s="226" t="s">
        <v>0</v>
      </c>
      <c r="B4" s="227" t="s">
        <v>2</v>
      </c>
      <c r="C4" s="227" t="s">
        <v>3</v>
      </c>
      <c r="D4" s="227" t="s">
        <v>4</v>
      </c>
      <c r="E4" s="227" t="s">
        <v>5</v>
      </c>
      <c r="F4" s="227" t="s">
        <v>6</v>
      </c>
      <c r="G4" s="77" t="s">
        <v>166</v>
      </c>
      <c r="H4" s="77" t="s">
        <v>165</v>
      </c>
    </row>
    <row r="5" spans="1:18" s="231" customFormat="1" ht="14.45" x14ac:dyDescent="0.35">
      <c r="A5" s="228"/>
      <c r="B5" s="229"/>
      <c r="C5" s="230"/>
      <c r="D5" s="230"/>
      <c r="E5" s="230"/>
      <c r="F5" s="230"/>
      <c r="G5" s="230"/>
      <c r="H5" s="230"/>
    </row>
    <row r="6" spans="1:18" ht="14.45" x14ac:dyDescent="0.35">
      <c r="A6" s="232" t="s">
        <v>48</v>
      </c>
      <c r="B6" s="233"/>
      <c r="C6" s="233"/>
      <c r="D6" s="233"/>
      <c r="E6" s="233"/>
      <c r="F6" s="233"/>
      <c r="G6" s="233"/>
      <c r="H6" s="233"/>
    </row>
    <row r="7" spans="1:18" ht="14.45" x14ac:dyDescent="0.35">
      <c r="A7" s="234" t="s">
        <v>49</v>
      </c>
      <c r="B7" s="235"/>
      <c r="C7" s="235"/>
      <c r="D7" s="235"/>
      <c r="E7" s="235"/>
      <c r="F7" s="235"/>
      <c r="G7" s="235"/>
      <c r="H7" s="235"/>
    </row>
    <row r="8" spans="1:18" ht="14.45" x14ac:dyDescent="0.35">
      <c r="A8" s="236" t="s">
        <v>236</v>
      </c>
      <c r="B8" s="237">
        <f>'8.Cash Flow '!C35</f>
        <v>1855984.9184805006</v>
      </c>
      <c r="C8" s="237">
        <f>'8.Cash Flow '!D35</f>
        <v>5612295.4497790784</v>
      </c>
      <c r="D8" s="237">
        <f>'8.Cash Flow '!E35</f>
        <v>9179672.9125745893</v>
      </c>
      <c r="E8" s="237">
        <f>'8.Cash Flow '!F35</f>
        <v>14300248.376417786</v>
      </c>
      <c r="F8" s="237">
        <f>'8.Cash Flow '!G35</f>
        <v>21144395.48057574</v>
      </c>
      <c r="G8" s="237">
        <f>'8.Cash Flow '!H35</f>
        <v>33605054.447506219</v>
      </c>
      <c r="H8" s="237">
        <f>'8.Cash Flow '!I35</f>
        <v>47540257.336589426</v>
      </c>
      <c r="K8" s="238"/>
      <c r="L8" s="238"/>
      <c r="M8" s="238"/>
      <c r="N8" s="238"/>
      <c r="O8" s="238"/>
      <c r="P8" s="238"/>
      <c r="Q8" s="238"/>
      <c r="R8" s="238"/>
    </row>
    <row r="9" spans="1:18" ht="14.45" x14ac:dyDescent="0.35">
      <c r="A9" s="239" t="s">
        <v>237</v>
      </c>
      <c r="B9" s="237">
        <f>'5.Closing Stock &amp; W Capital'!E41</f>
        <v>2275853.4104427402</v>
      </c>
      <c r="C9" s="237">
        <f>'5.Closing Stock &amp; W Capital'!F41</f>
        <v>2844921.4883235618</v>
      </c>
      <c r="D9" s="237">
        <f>'5.Closing Stock &amp; W Capital'!G41</f>
        <v>3441938.4887243421</v>
      </c>
      <c r="E9" s="237">
        <f>'5.Closing Stock &amp; W Capital'!H41</f>
        <v>4091544.8854443925</v>
      </c>
      <c r="F9" s="237">
        <f>'5.Closing Stock &amp; W Capital'!I41</f>
        <v>4797507.0756146377</v>
      </c>
      <c r="G9" s="237">
        <f>'5.Closing Stock &amp; W Capital'!J41</f>
        <v>5563836.6225882964</v>
      </c>
      <c r="H9" s="237">
        <f>'5.Closing Stock &amp; W Capital'!K41</f>
        <v>6394805.356570283</v>
      </c>
      <c r="K9" s="238"/>
      <c r="L9" s="238"/>
      <c r="M9" s="238"/>
      <c r="N9" s="238"/>
      <c r="O9" s="238"/>
      <c r="P9" s="238"/>
      <c r="Q9" s="238"/>
      <c r="R9" s="238"/>
    </row>
    <row r="10" spans="1:18" ht="14.45" x14ac:dyDescent="0.35">
      <c r="A10" s="239" t="s">
        <v>555</v>
      </c>
      <c r="B10" s="237">
        <f>'5.Closing Stock &amp; W Capital'!E42</f>
        <v>656704.90542143211</v>
      </c>
      <c r="C10" s="237">
        <f>'5.Closing Stock &amp; W Capital'!F42</f>
        <v>801911.88923423772</v>
      </c>
      <c r="D10" s="237">
        <f>'5.Closing Stock &amp; W Capital'!G42</f>
        <v>972357.55841277016</v>
      </c>
      <c r="E10" s="237">
        <f>'5.Closing Stock &amp; W Capital'!H42</f>
        <v>1157765.4431380706</v>
      </c>
      <c r="F10" s="237">
        <f>'5.Closing Stock &amp; W Capital'!I42</f>
        <v>1359208.001447869</v>
      </c>
      <c r="G10" s="237">
        <f>'5.Closing Stock &amp; W Capital'!J42</f>
        <v>1577827.5316448021</v>
      </c>
      <c r="H10" s="237">
        <f>'5.Closing Stock &amp; W Capital'!K42</f>
        <v>1814840.4751778089</v>
      </c>
      <c r="K10" s="238"/>
      <c r="L10" s="238"/>
      <c r="M10" s="238"/>
      <c r="N10" s="238"/>
      <c r="O10" s="238"/>
      <c r="P10" s="238"/>
      <c r="Q10" s="238"/>
      <c r="R10" s="238"/>
    </row>
    <row r="11" spans="1:18" ht="14.45" x14ac:dyDescent="0.35">
      <c r="A11" s="234" t="s">
        <v>238</v>
      </c>
      <c r="B11" s="240">
        <f t="shared" ref="B11:H11" si="0">SUM(B8:B10)</f>
        <v>4788543.2343446724</v>
      </c>
      <c r="C11" s="240">
        <f t="shared" si="0"/>
        <v>9259128.8273368776</v>
      </c>
      <c r="D11" s="240">
        <f t="shared" si="0"/>
        <v>13593968.959711701</v>
      </c>
      <c r="E11" s="240">
        <f t="shared" si="0"/>
        <v>19549558.705000248</v>
      </c>
      <c r="F11" s="240">
        <f t="shared" si="0"/>
        <v>27301110.557638247</v>
      </c>
      <c r="G11" s="240">
        <f t="shared" si="0"/>
        <v>40746718.601739317</v>
      </c>
      <c r="H11" s="240">
        <f t="shared" si="0"/>
        <v>55749903.168337516</v>
      </c>
    </row>
    <row r="12" spans="1:18" ht="14.45" x14ac:dyDescent="0.35">
      <c r="A12" s="234"/>
      <c r="B12" s="237"/>
      <c r="C12" s="237"/>
      <c r="D12" s="237"/>
      <c r="E12" s="237"/>
      <c r="F12" s="237"/>
      <c r="G12" s="237"/>
      <c r="H12" s="237"/>
      <c r="J12" s="238"/>
      <c r="K12" s="238"/>
      <c r="L12" s="238"/>
      <c r="M12" s="238"/>
      <c r="N12" s="238"/>
      <c r="O12" s="238"/>
      <c r="P12" s="238"/>
      <c r="Q12" s="238"/>
    </row>
    <row r="13" spans="1:18" ht="14.45" x14ac:dyDescent="0.35">
      <c r="A13" s="241" t="s">
        <v>239</v>
      </c>
      <c r="B13" s="237">
        <f>'3.Other Exp &amp; Taxes'!C65</f>
        <v>36486666</v>
      </c>
      <c r="C13" s="237">
        <f>'3.Other Exp &amp; Taxes'!D65</f>
        <v>34666913.644999996</v>
      </c>
      <c r="D13" s="237">
        <f>'3.Other Exp &amp; Taxes'!E65</f>
        <v>32847161.289999995</v>
      </c>
      <c r="E13" s="237">
        <f>'3.Other Exp &amp; Taxes'!F65</f>
        <v>31027408.934999995</v>
      </c>
      <c r="F13" s="237">
        <f>'3.Other Exp &amp; Taxes'!G65</f>
        <v>29207656.579999991</v>
      </c>
      <c r="G13" s="237">
        <f>'3.Other Exp &amp; Taxes'!H65</f>
        <v>27387904.224999994</v>
      </c>
      <c r="H13" s="237">
        <f>'3.Other Exp &amp; Taxes'!I65</f>
        <v>25568151.869999994</v>
      </c>
    </row>
    <row r="14" spans="1:18" ht="14.45" x14ac:dyDescent="0.35">
      <c r="A14" s="241" t="s">
        <v>240</v>
      </c>
      <c r="B14" s="237">
        <f>'3.Other Exp &amp; Taxes'!C66</f>
        <v>1819752.355</v>
      </c>
      <c r="C14" s="237">
        <f>'3.Other Exp &amp; Taxes'!D66</f>
        <v>1819752.355</v>
      </c>
      <c r="D14" s="237">
        <f>'3.Other Exp &amp; Taxes'!E66</f>
        <v>1819752.355</v>
      </c>
      <c r="E14" s="237">
        <f>'3.Other Exp &amp; Taxes'!F66</f>
        <v>1819752.355</v>
      </c>
      <c r="F14" s="237">
        <f>'3.Other Exp &amp; Taxes'!G66</f>
        <v>1819752.355</v>
      </c>
      <c r="G14" s="237">
        <f>'3.Other Exp &amp; Taxes'!H66</f>
        <v>1819752.355</v>
      </c>
      <c r="H14" s="237">
        <f>'3.Other Exp &amp; Taxes'!I66</f>
        <v>1819752.355</v>
      </c>
      <c r="K14" s="238"/>
      <c r="L14" s="238"/>
      <c r="M14" s="238"/>
      <c r="N14" s="238"/>
      <c r="O14" s="238"/>
      <c r="P14" s="238"/>
      <c r="Q14" s="238"/>
    </row>
    <row r="15" spans="1:18" s="225" customFormat="1" ht="14.45" x14ac:dyDescent="0.35">
      <c r="A15" s="234" t="s">
        <v>185</v>
      </c>
      <c r="B15" s="240">
        <f t="shared" ref="B15:H15" si="1">B13-B14</f>
        <v>34666913.645000003</v>
      </c>
      <c r="C15" s="240">
        <f t="shared" si="1"/>
        <v>32847161.289999995</v>
      </c>
      <c r="D15" s="240">
        <f t="shared" si="1"/>
        <v>31027408.934999995</v>
      </c>
      <c r="E15" s="240">
        <f t="shared" si="1"/>
        <v>29207656.579999994</v>
      </c>
      <c r="F15" s="240">
        <f t="shared" si="1"/>
        <v>27387904.22499999</v>
      </c>
      <c r="G15" s="240">
        <f t="shared" si="1"/>
        <v>25568151.869999994</v>
      </c>
      <c r="H15" s="240">
        <f t="shared" si="1"/>
        <v>23748399.514999993</v>
      </c>
    </row>
    <row r="16" spans="1:18" s="225" customFormat="1" ht="14.45" x14ac:dyDescent="0.35">
      <c r="A16" s="234"/>
      <c r="B16" s="240"/>
      <c r="C16" s="240"/>
      <c r="D16" s="240"/>
      <c r="E16" s="240"/>
      <c r="F16" s="240"/>
      <c r="G16" s="240"/>
      <c r="H16" s="240"/>
    </row>
    <row r="17" spans="1:8" s="225" customFormat="1" ht="14.45" x14ac:dyDescent="0.35">
      <c r="A17" s="242"/>
      <c r="B17" s="240"/>
      <c r="C17" s="240"/>
      <c r="D17" s="240"/>
      <c r="E17" s="240"/>
      <c r="F17" s="240"/>
      <c r="G17" s="240"/>
      <c r="H17" s="240"/>
    </row>
    <row r="18" spans="1:8" s="225" customFormat="1" ht="14.45" x14ac:dyDescent="0.35">
      <c r="A18" s="234" t="s">
        <v>479</v>
      </c>
      <c r="B18" s="240">
        <f>'8.Cash Flow '!C21-'6.Cons Profit &amp; Loss'!B43</f>
        <v>388000</v>
      </c>
      <c r="C18" s="240">
        <f>B18-'6.Cons Profit &amp; Loss'!C43</f>
        <v>291000</v>
      </c>
      <c r="D18" s="240">
        <f>C18-'6.Cons Profit &amp; Loss'!D43</f>
        <v>194000</v>
      </c>
      <c r="E18" s="240">
        <f>D18-'6.Cons Profit &amp; Loss'!E43</f>
        <v>97000</v>
      </c>
      <c r="F18" s="240">
        <f>E18-'6.Cons Profit &amp; Loss'!F43</f>
        <v>0</v>
      </c>
      <c r="G18" s="240">
        <f>F18-'6.Cons Profit &amp; Loss'!G43</f>
        <v>0</v>
      </c>
      <c r="H18" s="240">
        <f>G18-'6.Cons Profit &amp; Loss'!H43</f>
        <v>0</v>
      </c>
    </row>
    <row r="19" spans="1:8" ht="14.45" x14ac:dyDescent="0.35">
      <c r="A19" s="241"/>
      <c r="B19" s="237"/>
      <c r="C19" s="237"/>
      <c r="D19" s="237"/>
      <c r="E19" s="237"/>
      <c r="F19" s="237"/>
      <c r="G19" s="237"/>
      <c r="H19" s="237"/>
    </row>
    <row r="20" spans="1:8" ht="14.45" x14ac:dyDescent="0.35">
      <c r="A20" s="242" t="s">
        <v>242</v>
      </c>
      <c r="B20" s="243">
        <f t="shared" ref="B20:H20" si="2">B11+B15+B17+B18</f>
        <v>39843456.879344672</v>
      </c>
      <c r="C20" s="243">
        <f t="shared" si="2"/>
        <v>42397290.117336869</v>
      </c>
      <c r="D20" s="243">
        <f t="shared" si="2"/>
        <v>44815377.894711696</v>
      </c>
      <c r="E20" s="243">
        <f t="shared" si="2"/>
        <v>48854215.285000242</v>
      </c>
      <c r="F20" s="243">
        <f t="shared" si="2"/>
        <v>54689014.782638237</v>
      </c>
      <c r="G20" s="243">
        <f t="shared" si="2"/>
        <v>66314870.471739307</v>
      </c>
      <c r="H20" s="243">
        <f t="shared" si="2"/>
        <v>79498302.68333751</v>
      </c>
    </row>
    <row r="21" spans="1:8" ht="14.45" x14ac:dyDescent="0.35">
      <c r="A21" s="228"/>
      <c r="B21" s="244"/>
      <c r="C21" s="244"/>
      <c r="D21" s="244"/>
      <c r="E21" s="244"/>
      <c r="F21" s="244"/>
      <c r="G21" s="244"/>
      <c r="H21" s="244"/>
    </row>
    <row r="22" spans="1:8" ht="14.45" x14ac:dyDescent="0.35">
      <c r="A22" s="232" t="s">
        <v>243</v>
      </c>
      <c r="B22" s="245"/>
      <c r="C22" s="245"/>
      <c r="D22" s="245"/>
      <c r="E22" s="245"/>
      <c r="F22" s="245"/>
      <c r="G22" s="245"/>
      <c r="H22" s="245"/>
    </row>
    <row r="23" spans="1:8" ht="14.45" x14ac:dyDescent="0.35">
      <c r="A23" s="234" t="s">
        <v>244</v>
      </c>
      <c r="B23" s="245"/>
      <c r="C23" s="245"/>
      <c r="D23" s="245"/>
      <c r="E23" s="245"/>
      <c r="F23" s="245"/>
      <c r="G23" s="245"/>
      <c r="H23" s="245"/>
    </row>
    <row r="24" spans="1:8" ht="14.45" x14ac:dyDescent="0.35">
      <c r="A24" s="239" t="s">
        <v>245</v>
      </c>
      <c r="B24" s="237">
        <f>'5.Closing Stock &amp; W Capital'!E55-'5.Closing Stock &amp; W Capital'!E56</f>
        <v>1424557.8363142405</v>
      </c>
      <c r="C24" s="237">
        <f>'5.Closing Stock &amp; W Capital'!F55-'5.Closing Stock &amp; W Capital'!F56</f>
        <v>2381774.6477435995</v>
      </c>
      <c r="D24" s="237">
        <f>'5.Closing Stock &amp; W Capital'!G55-'5.Closing Stock &amp; W Capital'!G56</f>
        <v>2884320.629224488</v>
      </c>
      <c r="E24" s="237">
        <f>'5.Closing Stock &amp; W Capital'!H55-'5.Closing Stock &amp; W Capital'!H56</f>
        <v>3430999.4441678287</v>
      </c>
      <c r="F24" s="237">
        <f>'5.Closing Stock &amp; W Capital'!I55-'5.Closing Stock &amp; W Capital'!I56</f>
        <v>4025204.4225582294</v>
      </c>
      <c r="G24" s="237">
        <f>'5.Closing Stock &amp; W Capital'!J55-'5.Closing Stock &amp; W Capital'!J56</f>
        <v>4670319.3262516381</v>
      </c>
      <c r="H24" s="237">
        <f>'5.Closing Stock &amp; W Capital'!K55-'5.Closing Stock &amp; W Capital'!K56</f>
        <v>5369947.4778809845</v>
      </c>
    </row>
    <row r="25" spans="1:8" ht="14.45" x14ac:dyDescent="0.35">
      <c r="A25" s="239" t="s">
        <v>246</v>
      </c>
      <c r="B25" s="244">
        <f>'5.Closing Stock &amp; W Capital'!E54</f>
        <v>1033147.8674451848</v>
      </c>
      <c r="C25" s="244">
        <f>'5.Closing Stock &amp; W Capital'!F54</f>
        <v>1265058.7298142002</v>
      </c>
      <c r="D25" s="244">
        <f>'5.Closing Stock &amp; W Capital'!G54</f>
        <v>1529975.4179126243</v>
      </c>
      <c r="E25" s="244">
        <f>'5.Closing Stock &amp; W Capital'!H54</f>
        <v>1818310.8844146342</v>
      </c>
      <c r="F25" s="244">
        <f>'5.Closing Stock &amp; W Capital'!I54</f>
        <v>2131510.6545042768</v>
      </c>
      <c r="G25" s="244">
        <f>'5.Closing Stock &amp; W Capital'!J54</f>
        <v>2471344.8279814599</v>
      </c>
      <c r="H25" s="244">
        <f>'5.Closing Stock &amp; W Capital'!K54</f>
        <v>2839698.3538671075</v>
      </c>
    </row>
    <row r="26" spans="1:8" s="231" customFormat="1" ht="14.45" x14ac:dyDescent="0.35">
      <c r="A26" s="239" t="s">
        <v>247</v>
      </c>
      <c r="B26" s="240"/>
      <c r="C26" s="240"/>
      <c r="D26" s="240"/>
      <c r="E26" s="240"/>
      <c r="F26" s="240"/>
      <c r="G26" s="240"/>
      <c r="H26" s="240"/>
    </row>
    <row r="27" spans="1:8" s="231" customFormat="1" ht="14.45" x14ac:dyDescent="0.35">
      <c r="A27" s="234" t="s">
        <v>248</v>
      </c>
      <c r="B27" s="243">
        <f t="shared" ref="B27:H27" si="3">SUM(B24:B26)</f>
        <v>2457705.7037594253</v>
      </c>
      <c r="C27" s="243">
        <f t="shared" si="3"/>
        <v>3646833.3775577997</v>
      </c>
      <c r="D27" s="243">
        <f t="shared" si="3"/>
        <v>4414296.0471371124</v>
      </c>
      <c r="E27" s="243">
        <f t="shared" si="3"/>
        <v>5249310.3285824629</v>
      </c>
      <c r="F27" s="243">
        <f t="shared" si="3"/>
        <v>6156715.0770625062</v>
      </c>
      <c r="G27" s="243">
        <f t="shared" si="3"/>
        <v>7141664.154233098</v>
      </c>
      <c r="H27" s="243">
        <f t="shared" si="3"/>
        <v>8209645.8317480925</v>
      </c>
    </row>
    <row r="28" spans="1:8" s="231" customFormat="1" ht="14.45" x14ac:dyDescent="0.35">
      <c r="A28" s="234" t="s">
        <v>249</v>
      </c>
      <c r="B28" s="243">
        <f>'4.TL repayment sch'!G21</f>
        <v>11666001.845387712</v>
      </c>
      <c r="C28" s="243">
        <f>'4.TL repayment sch'!G33</f>
        <v>9249343.866424121</v>
      </c>
      <c r="D28" s="243">
        <f>'4.TL repayment sch'!G45</f>
        <v>6526193.16645981</v>
      </c>
      <c r="E28" s="243">
        <f>'4.TL repayment sch'!G57</f>
        <v>3457678.7969186278</v>
      </c>
      <c r="F28" s="243">
        <f>'4.TL repayment sch'!G69</f>
        <v>3.434251993894577E-9</v>
      </c>
      <c r="G28" s="243">
        <f>'4.TL repayment sch'!G81</f>
        <v>3.8698011065010345E-9</v>
      </c>
      <c r="H28" s="243">
        <f>'[1]Term Loan'!J72+'[1]Term Loan'!S72</f>
        <v>0</v>
      </c>
    </row>
    <row r="29" spans="1:8" s="231" customFormat="1" ht="14.45" x14ac:dyDescent="0.35">
      <c r="A29" s="234" t="s">
        <v>250</v>
      </c>
      <c r="B29" s="243"/>
      <c r="C29" s="243"/>
      <c r="D29" s="243"/>
      <c r="E29" s="243"/>
      <c r="F29" s="243"/>
      <c r="G29" s="243"/>
      <c r="H29" s="243"/>
    </row>
    <row r="30" spans="1:8" s="231" customFormat="1" ht="14.45" x14ac:dyDescent="0.35">
      <c r="A30" s="234"/>
      <c r="B30" s="246"/>
      <c r="C30" s="246"/>
      <c r="D30" s="246"/>
      <c r="E30" s="246"/>
      <c r="F30" s="246"/>
      <c r="G30" s="246"/>
      <c r="H30" s="246"/>
    </row>
    <row r="31" spans="1:8" ht="14.45" x14ac:dyDescent="0.35">
      <c r="A31" s="242" t="s">
        <v>251</v>
      </c>
      <c r="B31" s="243">
        <f t="shared" ref="B31:H31" si="4">SUM(B27:B29)</f>
        <v>14123707.549147137</v>
      </c>
      <c r="C31" s="243">
        <f t="shared" si="4"/>
        <v>12896177.24398192</v>
      </c>
      <c r="D31" s="243">
        <f t="shared" si="4"/>
        <v>10940489.213596921</v>
      </c>
      <c r="E31" s="243">
        <f t="shared" si="4"/>
        <v>8706989.1255010907</v>
      </c>
      <c r="F31" s="243">
        <f t="shared" si="4"/>
        <v>6156715.07706251</v>
      </c>
      <c r="G31" s="243">
        <f t="shared" si="4"/>
        <v>7141664.1542331018</v>
      </c>
      <c r="H31" s="243">
        <f t="shared" si="4"/>
        <v>8209645.8317480925</v>
      </c>
    </row>
    <row r="32" spans="1:8" ht="14.45" x14ac:dyDescent="0.35">
      <c r="A32" s="228"/>
      <c r="B32" s="247"/>
      <c r="C32" s="247"/>
      <c r="D32" s="247"/>
      <c r="E32" s="247"/>
      <c r="F32" s="247"/>
      <c r="G32" s="247"/>
      <c r="H32" s="247"/>
    </row>
    <row r="33" spans="1:8" ht="14.45" x14ac:dyDescent="0.35">
      <c r="A33" s="241" t="s">
        <v>252</v>
      </c>
      <c r="B33" s="237">
        <f>'1.Project Cost and MOF'!E21</f>
        <v>4676185.5121047441</v>
      </c>
      <c r="C33" s="237">
        <f>B33</f>
        <v>4676185.5121047441</v>
      </c>
      <c r="D33" s="237">
        <f t="shared" ref="D33:H34" si="5">C33</f>
        <v>4676185.5121047441</v>
      </c>
      <c r="E33" s="237">
        <f t="shared" si="5"/>
        <v>4676185.5121047441</v>
      </c>
      <c r="F33" s="237">
        <f t="shared" si="5"/>
        <v>4676185.5121047441</v>
      </c>
      <c r="G33" s="237">
        <f t="shared" si="5"/>
        <v>4676185.5121047441</v>
      </c>
      <c r="H33" s="237">
        <f t="shared" si="5"/>
        <v>4676185.5121047441</v>
      </c>
    </row>
    <row r="34" spans="1:8" ht="14.45" x14ac:dyDescent="0.35">
      <c r="A34" s="241" t="s">
        <v>480</v>
      </c>
      <c r="B34" s="237">
        <f>'1.Project Cost and MOF'!E19</f>
        <v>20000000</v>
      </c>
      <c r="C34" s="237">
        <f>B34</f>
        <v>20000000</v>
      </c>
      <c r="D34" s="237">
        <f t="shared" si="5"/>
        <v>20000000</v>
      </c>
      <c r="E34" s="237">
        <f t="shared" si="5"/>
        <v>20000000</v>
      </c>
      <c r="F34" s="237">
        <f t="shared" si="5"/>
        <v>20000000</v>
      </c>
      <c r="G34" s="237">
        <f t="shared" si="5"/>
        <v>20000000</v>
      </c>
      <c r="H34" s="237">
        <f t="shared" si="5"/>
        <v>20000000</v>
      </c>
    </row>
    <row r="35" spans="1:8" ht="14.45" x14ac:dyDescent="0.35">
      <c r="A35" s="234" t="s">
        <v>253</v>
      </c>
      <c r="B35" s="237"/>
      <c r="C35" s="237"/>
      <c r="D35" s="237"/>
      <c r="E35" s="237"/>
      <c r="F35" s="237"/>
      <c r="G35" s="237"/>
      <c r="H35" s="237"/>
    </row>
    <row r="36" spans="1:8" ht="14.45" x14ac:dyDescent="0.35">
      <c r="A36" s="241" t="s">
        <v>254</v>
      </c>
      <c r="B36" s="237">
        <v>0</v>
      </c>
      <c r="C36" s="237">
        <f t="shared" ref="C36:H36" si="6">B39</f>
        <v>1043563.8180927923</v>
      </c>
      <c r="D36" s="237">
        <f t="shared" si="6"/>
        <v>4824927.3612502115</v>
      </c>
      <c r="E36" s="237">
        <f t="shared" si="6"/>
        <v>9198703.1690100208</v>
      </c>
      <c r="F36" s="237">
        <f t="shared" si="6"/>
        <v>15471040.647394385</v>
      </c>
      <c r="G36" s="237">
        <f t="shared" si="6"/>
        <v>23856114.193470977</v>
      </c>
      <c r="H36" s="237">
        <f t="shared" si="6"/>
        <v>34497020.805401482</v>
      </c>
    </row>
    <row r="37" spans="1:8" ht="14.45" x14ac:dyDescent="0.35">
      <c r="A37" s="241" t="s">
        <v>255</v>
      </c>
      <c r="B37" s="237">
        <f>'6.Cons Profit &amp; Loss'!B53</f>
        <v>1043563.8180927923</v>
      </c>
      <c r="C37" s="237">
        <f>'6.Cons Profit &amp; Loss'!C51</f>
        <v>3781363.5431574192</v>
      </c>
      <c r="D37" s="237">
        <f>'6.Cons Profit &amp; Loss'!D51</f>
        <v>4373775.8077598093</v>
      </c>
      <c r="E37" s="237">
        <f>'6.Cons Profit &amp; Loss'!E51</f>
        <v>6272337.4783843644</v>
      </c>
      <c r="F37" s="237">
        <f>'6.Cons Profit &amp; Loss'!F51</f>
        <v>8385073.5460765939</v>
      </c>
      <c r="G37" s="237">
        <f>'6.Cons Profit &amp; Loss'!G51</f>
        <v>10640906.611930503</v>
      </c>
      <c r="H37" s="237">
        <f>'6.Cons Profit &amp; Loss'!H51</f>
        <v>12115450.534083193</v>
      </c>
    </row>
    <row r="38" spans="1:8" ht="14.45" x14ac:dyDescent="0.35">
      <c r="A38" s="241" t="s">
        <v>256</v>
      </c>
      <c r="B38" s="237"/>
      <c r="C38" s="237"/>
      <c r="D38" s="237"/>
      <c r="E38" s="237"/>
      <c r="F38" s="237"/>
      <c r="G38" s="237"/>
      <c r="H38" s="237"/>
    </row>
    <row r="39" spans="1:8" ht="14.45" x14ac:dyDescent="0.35">
      <c r="A39" s="241" t="s">
        <v>257</v>
      </c>
      <c r="B39" s="237">
        <f t="shared" ref="B39:H39" si="7">B36+B37-B38</f>
        <v>1043563.8180927923</v>
      </c>
      <c r="C39" s="237">
        <f t="shared" si="7"/>
        <v>4824927.3612502115</v>
      </c>
      <c r="D39" s="237">
        <f t="shared" si="7"/>
        <v>9198703.1690100208</v>
      </c>
      <c r="E39" s="237">
        <f t="shared" si="7"/>
        <v>15471040.647394385</v>
      </c>
      <c r="F39" s="237">
        <f t="shared" si="7"/>
        <v>23856114.193470977</v>
      </c>
      <c r="G39" s="237">
        <f t="shared" si="7"/>
        <v>34497020.805401482</v>
      </c>
      <c r="H39" s="237">
        <f t="shared" si="7"/>
        <v>46612471.339484677</v>
      </c>
    </row>
    <row r="40" spans="1:8" ht="14.45" x14ac:dyDescent="0.35">
      <c r="A40" s="241"/>
      <c r="B40" s="245"/>
      <c r="C40" s="245"/>
      <c r="D40" s="245"/>
      <c r="E40" s="245"/>
      <c r="F40" s="245"/>
      <c r="G40" s="245"/>
      <c r="H40" s="245"/>
    </row>
    <row r="41" spans="1:8" ht="14.45" x14ac:dyDescent="0.35">
      <c r="A41" s="248" t="s">
        <v>258</v>
      </c>
      <c r="B41" s="249">
        <f t="shared" ref="B41:H41" si="8">B33+B39+B34</f>
        <v>25719749.330197535</v>
      </c>
      <c r="C41" s="249">
        <f t="shared" si="8"/>
        <v>29501112.873354957</v>
      </c>
      <c r="D41" s="249">
        <f t="shared" si="8"/>
        <v>33874888.681114763</v>
      </c>
      <c r="E41" s="249">
        <f t="shared" si="8"/>
        <v>40147226.159499131</v>
      </c>
      <c r="F41" s="249">
        <f t="shared" si="8"/>
        <v>48532299.705575719</v>
      </c>
      <c r="G41" s="249">
        <f t="shared" si="8"/>
        <v>59173206.317506224</v>
      </c>
      <c r="H41" s="249">
        <f t="shared" si="8"/>
        <v>71288656.851589411</v>
      </c>
    </row>
    <row r="42" spans="1:8" ht="14.45" x14ac:dyDescent="0.35">
      <c r="A42" s="228"/>
      <c r="B42" s="237"/>
      <c r="C42" s="237"/>
      <c r="D42" s="237"/>
      <c r="E42" s="237"/>
      <c r="F42" s="237"/>
      <c r="G42" s="237"/>
      <c r="H42" s="237"/>
    </row>
    <row r="43" spans="1:8" ht="14.45" x14ac:dyDescent="0.35">
      <c r="A43" s="242" t="s">
        <v>259</v>
      </c>
      <c r="B43" s="243">
        <f t="shared" ref="B43:H43" si="9">B31+B41</f>
        <v>39843456.879344672</v>
      </c>
      <c r="C43" s="243">
        <f t="shared" si="9"/>
        <v>42397290.117336877</v>
      </c>
      <c r="D43" s="243">
        <f t="shared" si="9"/>
        <v>44815377.894711688</v>
      </c>
      <c r="E43" s="243">
        <f t="shared" si="9"/>
        <v>48854215.28500022</v>
      </c>
      <c r="F43" s="243">
        <f t="shared" si="9"/>
        <v>54689014.782638229</v>
      </c>
      <c r="G43" s="243">
        <f t="shared" si="9"/>
        <v>66314870.471739322</v>
      </c>
      <c r="H43" s="243">
        <f t="shared" si="9"/>
        <v>79498302.68333751</v>
      </c>
    </row>
    <row r="44" spans="1:8" ht="14.45" x14ac:dyDescent="0.35">
      <c r="A44" s="228"/>
      <c r="B44" s="250"/>
      <c r="C44" s="250"/>
      <c r="D44" s="250"/>
      <c r="E44" s="250"/>
      <c r="F44" s="250"/>
      <c r="G44" s="250"/>
      <c r="H44" s="250"/>
    </row>
    <row r="45" spans="1:8" ht="14.45" x14ac:dyDescent="0.35">
      <c r="A45" s="251" t="s">
        <v>260</v>
      </c>
      <c r="B45" s="252"/>
      <c r="C45" s="252"/>
      <c r="D45" s="252"/>
      <c r="E45" s="252"/>
      <c r="F45" s="252"/>
      <c r="G45" s="252"/>
      <c r="H45" s="252"/>
    </row>
    <row r="46" spans="1:8" ht="14.45" x14ac:dyDescent="0.35">
      <c r="A46" s="253" t="s">
        <v>261</v>
      </c>
      <c r="B46" s="254">
        <f t="shared" ref="B46:H46" si="10">B43-B20</f>
        <v>0</v>
      </c>
      <c r="C46" s="254">
        <f t="shared" si="10"/>
        <v>0</v>
      </c>
      <c r="D46" s="254">
        <f t="shared" si="10"/>
        <v>0</v>
      </c>
      <c r="E46" s="254">
        <f t="shared" si="10"/>
        <v>0</v>
      </c>
      <c r="F46" s="254">
        <f t="shared" si="10"/>
        <v>0</v>
      </c>
      <c r="G46" s="254">
        <f t="shared" si="10"/>
        <v>0</v>
      </c>
      <c r="H46" s="254">
        <f t="shared" si="10"/>
        <v>0</v>
      </c>
    </row>
    <row r="47" spans="1:8" ht="14.45" x14ac:dyDescent="0.35">
      <c r="A47" s="253"/>
      <c r="B47" s="254"/>
      <c r="C47" s="254"/>
      <c r="D47" s="254"/>
      <c r="E47" s="254"/>
      <c r="F47" s="254"/>
      <c r="G47" s="254"/>
      <c r="H47" s="254"/>
    </row>
    <row r="48" spans="1:8" thickBot="1" x14ac:dyDescent="0.4">
      <c r="A48" s="255"/>
      <c r="B48" s="256"/>
      <c r="C48" s="256"/>
      <c r="D48" s="256"/>
      <c r="E48" s="256"/>
      <c r="F48" s="256"/>
      <c r="G48" s="256"/>
      <c r="H48" s="256"/>
    </row>
    <row r="49" spans="1:9" ht="14.45" x14ac:dyDescent="0.35">
      <c r="B49" s="257"/>
      <c r="C49" s="257"/>
      <c r="D49" s="257"/>
      <c r="E49" s="257"/>
      <c r="F49" s="257"/>
      <c r="G49" s="257"/>
      <c r="H49" s="257"/>
    </row>
    <row r="50" spans="1:9" ht="39.6" customHeight="1" x14ac:dyDescent="0.35">
      <c r="A50" s="451" t="s">
        <v>385</v>
      </c>
      <c r="B50" s="452"/>
      <c r="C50" s="452"/>
      <c r="D50" s="452"/>
      <c r="E50" s="452"/>
      <c r="F50" s="452"/>
      <c r="G50" s="452"/>
      <c r="H50" s="452"/>
      <c r="I50" s="45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A4" sqref="A4:I35"/>
    </sheetView>
  </sheetViews>
  <sheetFormatPr defaultColWidth="8.7109375" defaultRowHeight="15" x14ac:dyDescent="0.25"/>
  <cols>
    <col min="1" max="1" width="3.5703125" style="39" bestFit="1" customWidth="1"/>
    <col min="2" max="2" width="35.7109375" style="39" bestFit="1" customWidth="1"/>
    <col min="3" max="3" width="15.5703125" style="39" customWidth="1"/>
    <col min="4" max="4" width="15.7109375" style="39" customWidth="1"/>
    <col min="5" max="5" width="14.5703125" style="39" customWidth="1"/>
    <col min="6" max="6" width="14.7109375" style="39" customWidth="1"/>
    <col min="7" max="7" width="18.85546875" style="39" customWidth="1"/>
    <col min="8" max="9" width="14.85546875" style="39" bestFit="1" customWidth="1"/>
    <col min="10" max="16384" width="8.7109375" style="39"/>
  </cols>
  <sheetData>
    <row r="1" spans="1:10" ht="14.45" x14ac:dyDescent="0.35">
      <c r="A1" s="434"/>
      <c r="B1" s="434"/>
      <c r="C1" s="434"/>
      <c r="D1" s="434"/>
      <c r="E1" s="434"/>
      <c r="F1" s="434"/>
      <c r="G1" s="434"/>
    </row>
    <row r="2" spans="1:10" ht="14.45" x14ac:dyDescent="0.35">
      <c r="A2" s="425" t="s">
        <v>519</v>
      </c>
      <c r="B2" s="425"/>
      <c r="C2" s="425"/>
      <c r="D2" s="425"/>
      <c r="E2" s="425"/>
      <c r="F2" s="425"/>
      <c r="G2" s="425"/>
      <c r="H2" s="425"/>
      <c r="I2" s="425"/>
      <c r="J2" s="206"/>
    </row>
    <row r="4" spans="1:10" ht="14.45" x14ac:dyDescent="0.35">
      <c r="A4" s="207" t="s">
        <v>217</v>
      </c>
      <c r="B4" s="207" t="s">
        <v>0</v>
      </c>
      <c r="C4" s="208" t="s">
        <v>2</v>
      </c>
      <c r="D4" s="208" t="s">
        <v>3</v>
      </c>
      <c r="E4" s="208" t="s">
        <v>4</v>
      </c>
      <c r="F4" s="208" t="s">
        <v>5</v>
      </c>
      <c r="G4" s="208" t="s">
        <v>6</v>
      </c>
      <c r="H4" s="208" t="s">
        <v>166</v>
      </c>
      <c r="I4" s="208" t="s">
        <v>165</v>
      </c>
    </row>
    <row r="5" spans="1:10" ht="14.45" x14ac:dyDescent="0.35">
      <c r="A5" s="209">
        <v>1</v>
      </c>
      <c r="B5" s="209" t="s">
        <v>7</v>
      </c>
      <c r="C5" s="210"/>
      <c r="D5" s="210"/>
      <c r="E5" s="210"/>
      <c r="F5" s="210"/>
      <c r="G5" s="210"/>
      <c r="H5" s="210"/>
      <c r="I5" s="210"/>
    </row>
    <row r="6" spans="1:10" ht="14.45" x14ac:dyDescent="0.35">
      <c r="A6" s="209"/>
      <c r="B6" s="211" t="s">
        <v>346</v>
      </c>
      <c r="C6" s="210">
        <f>'6.Cons Profit &amp; Loss'!B15</f>
        <v>76473046.429400012</v>
      </c>
      <c r="D6" s="210">
        <f>'6.Cons Profit &amp; Loss'!C15</f>
        <v>95035881.342150003</v>
      </c>
      <c r="E6" s="210">
        <f>'6.Cons Profit &amp; Loss'!D15</f>
        <v>114657180.56682748</v>
      </c>
      <c r="F6" s="210">
        <f>'6.Cons Profit &amp; Loss'!E15</f>
        <v>136003020.01061738</v>
      </c>
      <c r="G6" s="210">
        <f>'6.Cons Profit &amp; Loss'!F15</f>
        <v>159196800.44736919</v>
      </c>
      <c r="H6" s="210">
        <f>'6.Cons Profit &amp; Loss'!G15</f>
        <v>184369951.37776965</v>
      </c>
      <c r="I6" s="210">
        <f>'6.Cons Profit &amp; Loss'!H15</f>
        <v>211662425.40009174</v>
      </c>
    </row>
    <row r="7" spans="1:10" ht="14.45" x14ac:dyDescent="0.35">
      <c r="A7" s="209">
        <v>2</v>
      </c>
      <c r="B7" s="209" t="s">
        <v>218</v>
      </c>
      <c r="C7" s="210">
        <f>'1.Project Cost and MOF'!E21</f>
        <v>4676185.5121047441</v>
      </c>
      <c r="D7" s="210"/>
      <c r="E7" s="210"/>
      <c r="F7" s="210"/>
      <c r="G7" s="210"/>
      <c r="H7" s="210"/>
      <c r="I7" s="210"/>
    </row>
    <row r="8" spans="1:10" ht="14.45" x14ac:dyDescent="0.35">
      <c r="A8" s="209"/>
      <c r="B8" s="209" t="s">
        <v>277</v>
      </c>
      <c r="C8" s="210"/>
      <c r="D8" s="210"/>
      <c r="E8" s="210"/>
      <c r="F8" s="210"/>
      <c r="G8" s="210"/>
      <c r="H8" s="210"/>
      <c r="I8" s="210"/>
    </row>
    <row r="9" spans="1:10" ht="14.45" x14ac:dyDescent="0.35">
      <c r="A9" s="209">
        <v>3</v>
      </c>
      <c r="B9" s="209" t="str">
        <f>'7.Balance Sheet'!A34</f>
        <v>Smart Grant -in-Aid</v>
      </c>
      <c r="C9" s="210">
        <f>'1.Project Cost and MOF'!E19</f>
        <v>20000000</v>
      </c>
      <c r="D9" s="210"/>
      <c r="E9" s="210"/>
      <c r="F9" s="210"/>
      <c r="G9" s="210"/>
      <c r="H9" s="210"/>
      <c r="I9" s="210"/>
    </row>
    <row r="10" spans="1:10" ht="14.45" x14ac:dyDescent="0.35">
      <c r="A10" s="209">
        <v>4</v>
      </c>
      <c r="B10" s="209" t="s">
        <v>219</v>
      </c>
      <c r="C10" s="210">
        <f>'1.Project Cost and MOF'!E20</f>
        <v>12770333.1</v>
      </c>
      <c r="D10" s="210"/>
      <c r="E10" s="210"/>
      <c r="F10" s="210"/>
      <c r="G10" s="210"/>
      <c r="H10" s="210"/>
      <c r="I10" s="210"/>
    </row>
    <row r="11" spans="1:10" ht="14.45" x14ac:dyDescent="0.35">
      <c r="A11" s="209">
        <v>5</v>
      </c>
      <c r="B11" s="209" t="s">
        <v>220</v>
      </c>
      <c r="C11" s="210">
        <f>'7.Balance Sheet'!B24</f>
        <v>1424557.8363142405</v>
      </c>
      <c r="D11" s="210">
        <f>'7.Balance Sheet'!C24-'7.Balance Sheet'!B24</f>
        <v>957216.81142935902</v>
      </c>
      <c r="E11" s="210">
        <f>'7.Balance Sheet'!D24-'7.Balance Sheet'!C24</f>
        <v>502545.98148088856</v>
      </c>
      <c r="F11" s="210">
        <f>'7.Balance Sheet'!E24-'7.Balance Sheet'!D24</f>
        <v>546678.81494334061</v>
      </c>
      <c r="G11" s="210">
        <f>'7.Balance Sheet'!F24-'7.Balance Sheet'!E24</f>
        <v>594204.97839040076</v>
      </c>
      <c r="H11" s="210">
        <f>'7.Balance Sheet'!G24-'7.Balance Sheet'!F24</f>
        <v>645114.90369340871</v>
      </c>
      <c r="I11" s="210">
        <f>'7.Balance Sheet'!H24-'7.Balance Sheet'!G24</f>
        <v>699628.15162934642</v>
      </c>
    </row>
    <row r="12" spans="1:10" ht="14.45" x14ac:dyDescent="0.35">
      <c r="A12" s="209">
        <v>6</v>
      </c>
      <c r="B12" s="209" t="s">
        <v>739</v>
      </c>
      <c r="C12" s="210">
        <f>'7.Balance Sheet'!B25</f>
        <v>1033147.8674451848</v>
      </c>
      <c r="D12" s="210">
        <f>'7.Balance Sheet'!C25-'7.Balance Sheet'!B25</f>
        <v>231910.86236901535</v>
      </c>
      <c r="E12" s="210">
        <f>'7.Balance Sheet'!D25-'7.Balance Sheet'!C25</f>
        <v>264916.68809842411</v>
      </c>
      <c r="F12" s="210">
        <f>'7.Balance Sheet'!E25-'7.Balance Sheet'!D25</f>
        <v>288335.46650200989</v>
      </c>
      <c r="G12" s="210">
        <f>'7.Balance Sheet'!F25-'7.Balance Sheet'!E25</f>
        <v>313199.77008964261</v>
      </c>
      <c r="H12" s="210">
        <f>'7.Balance Sheet'!G25-'7.Balance Sheet'!F25</f>
        <v>339834.1734771831</v>
      </c>
      <c r="I12" s="210">
        <f>'7.Balance Sheet'!H25-'7.Balance Sheet'!G25</f>
        <v>368353.52588564763</v>
      </c>
    </row>
    <row r="13" spans="1:10" ht="14.45" x14ac:dyDescent="0.35">
      <c r="A13" s="209"/>
      <c r="B13" s="209" t="s">
        <v>221</v>
      </c>
      <c r="C13" s="212">
        <f>SUM(C6:C12)</f>
        <v>116377270.74526419</v>
      </c>
      <c r="D13" s="212">
        <f t="shared" ref="D13:I13" si="0">SUM(D6:D12)</f>
        <v>96225009.01594837</v>
      </c>
      <c r="E13" s="212">
        <f t="shared" si="0"/>
        <v>115424643.23640679</v>
      </c>
      <c r="F13" s="212">
        <f t="shared" si="0"/>
        <v>136838034.29206273</v>
      </c>
      <c r="G13" s="212">
        <f t="shared" si="0"/>
        <v>160104205.19584924</v>
      </c>
      <c r="H13" s="212">
        <f t="shared" si="0"/>
        <v>185354900.45494023</v>
      </c>
      <c r="I13" s="212">
        <f t="shared" si="0"/>
        <v>212730407.07760674</v>
      </c>
    </row>
    <row r="14" spans="1:10" ht="14.45" x14ac:dyDescent="0.35">
      <c r="A14" s="453" t="s">
        <v>222</v>
      </c>
      <c r="B14" s="453"/>
      <c r="C14" s="213"/>
      <c r="D14" s="213"/>
      <c r="E14" s="213"/>
      <c r="F14" s="213"/>
      <c r="G14" s="213"/>
      <c r="H14" s="213"/>
      <c r="I14" s="213"/>
    </row>
    <row r="15" spans="1:10" ht="14.45" x14ac:dyDescent="0.35">
      <c r="A15" s="209">
        <v>1</v>
      </c>
      <c r="B15" s="209" t="s">
        <v>223</v>
      </c>
      <c r="C15" s="213"/>
      <c r="D15" s="213"/>
      <c r="E15" s="213"/>
      <c r="F15" s="213"/>
      <c r="G15" s="213"/>
      <c r="H15" s="213"/>
      <c r="I15" s="213"/>
    </row>
    <row r="16" spans="1:10" ht="14.45" x14ac:dyDescent="0.35">
      <c r="A16" s="214" t="s">
        <v>224</v>
      </c>
      <c r="B16" s="213" t="str">
        <f>'[1]Total Cost of Project'!C3</f>
        <v>Land and Building</v>
      </c>
      <c r="C16" s="215">
        <f>'1.Project Cost and MOF'!D5</f>
        <v>19269473</v>
      </c>
      <c r="D16" s="215"/>
      <c r="E16" s="215"/>
      <c r="F16" s="215"/>
      <c r="G16" s="215"/>
      <c r="H16" s="215"/>
      <c r="I16" s="215"/>
    </row>
    <row r="17" spans="1:9" ht="14.45" x14ac:dyDescent="0.35">
      <c r="A17" s="214" t="s">
        <v>225</v>
      </c>
      <c r="B17" s="216" t="str">
        <f>'[1]Total Cost of Project'!C4</f>
        <v>Machinery and Equipment</v>
      </c>
      <c r="C17" s="215">
        <f>'1.Project Cost and MOF'!D6</f>
        <v>14463233</v>
      </c>
      <c r="D17" s="215"/>
      <c r="E17" s="215"/>
      <c r="F17" s="215"/>
      <c r="G17" s="215"/>
      <c r="H17" s="215"/>
      <c r="I17" s="215"/>
    </row>
    <row r="18" spans="1:9" ht="14.45" x14ac:dyDescent="0.35">
      <c r="A18" s="214" t="s">
        <v>262</v>
      </c>
      <c r="B18" s="216" t="s">
        <v>314</v>
      </c>
      <c r="C18" s="215">
        <f>'1.Project Cost and MOF'!D7</f>
        <v>1099575</v>
      </c>
      <c r="D18" s="215"/>
      <c r="E18" s="215"/>
      <c r="F18" s="215"/>
      <c r="G18" s="215"/>
      <c r="H18" s="215"/>
      <c r="I18" s="215"/>
    </row>
    <row r="19" spans="1:9" ht="14.45" x14ac:dyDescent="0.35">
      <c r="A19" s="214" t="s">
        <v>264</v>
      </c>
      <c r="B19" s="216" t="s">
        <v>316</v>
      </c>
      <c r="C19" s="215">
        <f>'1.Project Cost and MOF'!D8</f>
        <v>697395</v>
      </c>
      <c r="D19" s="215"/>
      <c r="E19" s="215"/>
      <c r="F19" s="215"/>
      <c r="G19" s="215"/>
      <c r="H19" s="215"/>
      <c r="I19" s="215"/>
    </row>
    <row r="20" spans="1:9" ht="14.45" x14ac:dyDescent="0.35">
      <c r="A20" s="214" t="s">
        <v>317</v>
      </c>
      <c r="B20" s="216" t="s">
        <v>263</v>
      </c>
      <c r="C20" s="215">
        <f>'1.Project Cost and MOF'!D9</f>
        <v>956990</v>
      </c>
      <c r="D20" s="210"/>
      <c r="E20" s="210"/>
      <c r="F20" s="210"/>
      <c r="G20" s="210"/>
      <c r="H20" s="210"/>
      <c r="I20" s="210"/>
    </row>
    <row r="21" spans="1:9" ht="14.45" x14ac:dyDescent="0.35">
      <c r="A21" s="214" t="s">
        <v>318</v>
      </c>
      <c r="B21" s="216" t="s">
        <v>265</v>
      </c>
      <c r="C21" s="215">
        <f>'1.Project Cost and MOF'!D10</f>
        <v>485000</v>
      </c>
      <c r="D21" s="210"/>
      <c r="E21" s="210"/>
      <c r="F21" s="210"/>
      <c r="G21" s="210"/>
      <c r="H21" s="210"/>
      <c r="I21" s="210"/>
    </row>
    <row r="22" spans="1:9" ht="14.45" x14ac:dyDescent="0.35">
      <c r="A22" s="209">
        <v>2</v>
      </c>
      <c r="B22" s="209" t="s">
        <v>226</v>
      </c>
      <c r="C22" s="213"/>
      <c r="D22" s="213"/>
      <c r="E22" s="213"/>
      <c r="F22" s="213"/>
      <c r="G22" s="213"/>
      <c r="H22" s="213"/>
      <c r="I22" s="213"/>
    </row>
    <row r="23" spans="1:9" ht="14.45" x14ac:dyDescent="0.35">
      <c r="A23" s="214" t="s">
        <v>224</v>
      </c>
      <c r="B23" s="213" t="s">
        <v>295</v>
      </c>
      <c r="C23" s="217">
        <f>'6.Cons Profit &amp; Loss'!B25</f>
        <v>67683962.011641771</v>
      </c>
      <c r="D23" s="217">
        <f>'6.Cons Profit &amp; Loss'!C25</f>
        <v>82883046.344426155</v>
      </c>
      <c r="E23" s="217">
        <f>'6.Cons Profit &amp; Loss'!D25</f>
        <v>101576807.35670112</v>
      </c>
      <c r="F23" s="217">
        <f>'6.Cons Profit &amp; Loss'!E25</f>
        <v>120285018.93005452</v>
      </c>
      <c r="G23" s="217">
        <f>'6.Cons Profit &amp; Loss'!F25</f>
        <v>140604007.64388746</v>
      </c>
      <c r="H23" s="217">
        <f>'6.Cons Profit &amp; Loss'!G25</f>
        <v>162648386.28069064</v>
      </c>
      <c r="I23" s="217">
        <f>'6.Cons Profit &amp; Loss'!H25</f>
        <v>187540201.95835233</v>
      </c>
    </row>
    <row r="24" spans="1:9" ht="14.45" x14ac:dyDescent="0.35">
      <c r="A24" s="214" t="s">
        <v>225</v>
      </c>
      <c r="B24" s="213" t="s">
        <v>293</v>
      </c>
      <c r="C24" s="210">
        <f>'6.Cons Profit &amp; Loss'!B36</f>
        <v>4152669.1364500001</v>
      </c>
      <c r="D24" s="210">
        <f>'6.Cons Profit &amp; Loss'!C36</f>
        <v>4324771.6129000001</v>
      </c>
      <c r="E24" s="210">
        <f>'6.Cons Profit &amp; Loss'!D36</f>
        <v>4506389.08935</v>
      </c>
      <c r="F24" s="210">
        <f>'6.Cons Profit &amp; Loss'!E36</f>
        <v>4697997.3158000009</v>
      </c>
      <c r="G24" s="210">
        <f>'6.Cons Profit &amp; Loss'!F36</f>
        <v>4900095.8297500005</v>
      </c>
      <c r="H24" s="210">
        <f>'6.Cons Profit &amp; Loss'!G36</f>
        <v>5113209.1455750009</v>
      </c>
      <c r="I24" s="210">
        <f>'6.Cons Profit &amp; Loss'!H36</f>
        <v>5337888.0033687511</v>
      </c>
    </row>
    <row r="25" spans="1:9" ht="14.45" x14ac:dyDescent="0.35">
      <c r="A25" s="218">
        <v>3</v>
      </c>
      <c r="B25" s="209" t="s">
        <v>478</v>
      </c>
      <c r="C25" s="210"/>
      <c r="D25" s="210"/>
      <c r="E25" s="210"/>
      <c r="F25" s="210"/>
      <c r="G25" s="210"/>
      <c r="H25" s="210"/>
      <c r="I25" s="210"/>
    </row>
    <row r="26" spans="1:9" ht="14.45" x14ac:dyDescent="0.35">
      <c r="A26" s="214"/>
      <c r="B26" s="213" t="s">
        <v>227</v>
      </c>
      <c r="C26" s="210">
        <f>SUM('4.TL repayment sch'!E10:E21)</f>
        <v>1104331.2546122863</v>
      </c>
      <c r="D26" s="210">
        <f>SUM('4.TL repayment sch'!E22:E33)</f>
        <v>2416657.9789635907</v>
      </c>
      <c r="E26" s="210">
        <f>SUM('4.TL repayment sch'!E34:E45)</f>
        <v>2723150.6999643133</v>
      </c>
      <c r="F26" s="210">
        <f>SUM('4.TL repayment sch'!E46:E57)</f>
        <v>3068514.3695411813</v>
      </c>
      <c r="G26" s="210">
        <f>SUM('4.TL repayment sch'!E58:E69)</f>
        <v>3457678.7969186245</v>
      </c>
      <c r="H26" s="210">
        <f>SUM('4.TL repayment sch'!E70:E81)</f>
        <v>-4.3554911260645679E-10</v>
      </c>
      <c r="I26" s="210">
        <f>SUM('4.TL repayment sch'!E82:E93)</f>
        <v>-4.9078764193672341E-10</v>
      </c>
    </row>
    <row r="27" spans="1:9" x14ac:dyDescent="0.25">
      <c r="A27" s="214"/>
      <c r="B27" s="213" t="s">
        <v>228</v>
      </c>
      <c r="C27" s="210">
        <f>SUM('4.TL repayment sch'!D10:D21)</f>
        <v>1505152.1678577475</v>
      </c>
      <c r="D27" s="210">
        <f>SUM('4.TL repayment sch'!D22:D33)</f>
        <v>1269868.893976477</v>
      </c>
      <c r="E27" s="210">
        <f>SUM('4.TL repayment sch'!D34:D45)</f>
        <v>963376.17297575471</v>
      </c>
      <c r="F27" s="210">
        <f>SUM('4.TL repayment sch'!D46:D57)</f>
        <v>618012.50339888618</v>
      </c>
      <c r="G27" s="210">
        <f>SUM('4.TL repayment sch'!D58:D69)</f>
        <v>228848.07602144382</v>
      </c>
      <c r="H27" s="210">
        <f>SUM('4.TL repayment sch'!D70:D81)</f>
        <v>4.3554911260645679E-10</v>
      </c>
      <c r="I27" s="210">
        <f>SUM('4.TL repayment sch'!D82:D93)</f>
        <v>4.9078764193672341E-10</v>
      </c>
    </row>
    <row r="28" spans="1:9" x14ac:dyDescent="0.25">
      <c r="A28" s="214"/>
      <c r="B28" s="213" t="s">
        <v>229</v>
      </c>
      <c r="C28" s="210"/>
      <c r="D28" s="210"/>
      <c r="E28" s="210"/>
      <c r="F28" s="210"/>
      <c r="G28" s="210"/>
      <c r="H28" s="210"/>
      <c r="I28" s="210"/>
    </row>
    <row r="29" spans="1:9" x14ac:dyDescent="0.25">
      <c r="A29" s="214"/>
      <c r="B29" s="213" t="s">
        <v>230</v>
      </c>
      <c r="C29" s="219">
        <f>'7.Balance Sheet'!B24*0.12</f>
        <v>170946.94035770884</v>
      </c>
      <c r="D29" s="219">
        <f>'7.Balance Sheet'!C24*0.12</f>
        <v>285812.95772923192</v>
      </c>
      <c r="E29" s="219">
        <f>'7.Balance Sheet'!D24*0.12</f>
        <v>346118.47550693853</v>
      </c>
      <c r="F29" s="219">
        <f>'7.Balance Sheet'!E24*0.12</f>
        <v>411719.93330013944</v>
      </c>
      <c r="G29" s="219">
        <f>'7.Balance Sheet'!F24*0.12</f>
        <v>483024.53070698748</v>
      </c>
      <c r="H29" s="219">
        <f>'7.Balance Sheet'!G24*0.12</f>
        <v>560438.3191501965</v>
      </c>
      <c r="I29" s="219">
        <f>'7.Balance Sheet'!H24*0.12</f>
        <v>644393.69734571816</v>
      </c>
    </row>
    <row r="30" spans="1:9" x14ac:dyDescent="0.25">
      <c r="A30" s="209">
        <v>4</v>
      </c>
      <c r="B30" s="209" t="s">
        <v>231</v>
      </c>
      <c r="C30" s="210">
        <f>'6.Cons Profit &amp; Loss'!B50</f>
        <v>0</v>
      </c>
      <c r="D30" s="210">
        <f>'6.Cons Profit &amp; Loss'!C50</f>
        <v>574265.63496071496</v>
      </c>
      <c r="E30" s="210">
        <f>'6.Cons Profit &amp; Loss'!D50</f>
        <v>973961.30953385215</v>
      </c>
      <c r="F30" s="210">
        <f>'6.Cons Profit &amp; Loss'!E50</f>
        <v>1801181.4946794731</v>
      </c>
      <c r="G30" s="210">
        <f>'6.Cons Profit &amp; Loss'!F50</f>
        <v>2678998.4659267007</v>
      </c>
      <c r="H30" s="210">
        <f>'6.Cons Profit &amp; Loss'!G50</f>
        <v>3587258.665423322</v>
      </c>
      <c r="I30" s="210">
        <f>'6.Cons Profit &amp; Loss'!H50</f>
        <v>4204738.8519417327</v>
      </c>
    </row>
    <row r="31" spans="1:9" x14ac:dyDescent="0.25">
      <c r="A31" s="209">
        <v>5</v>
      </c>
      <c r="B31" s="209" t="s">
        <v>740</v>
      </c>
      <c r="C31" s="210">
        <f>'7.Balance Sheet'!B9+'7.Balance Sheet'!B10</f>
        <v>2932558.3158641723</v>
      </c>
      <c r="D31" s="210">
        <f>'7.Balance Sheet'!C10+'7.Balance Sheet'!C9-'7.Balance Sheet'!B9-'7.Balance Sheet'!B10</f>
        <v>714275.06169362739</v>
      </c>
      <c r="E31" s="210">
        <f>'7.Balance Sheet'!D10+'7.Balance Sheet'!D9-'7.Balance Sheet'!C9-'7.Balance Sheet'!C10</f>
        <v>767462.66957931279</v>
      </c>
      <c r="F31" s="210">
        <f>'7.Balance Sheet'!E10+'7.Balance Sheet'!E9-'7.Balance Sheet'!D9-'7.Balance Sheet'!D10</f>
        <v>835014.28144535061</v>
      </c>
      <c r="G31" s="210">
        <f>'7.Balance Sheet'!F10+'7.Balance Sheet'!F9-'7.Balance Sheet'!E9-'7.Balance Sheet'!E10</f>
        <v>907404.74848004314</v>
      </c>
      <c r="H31" s="210">
        <f>'7.Balance Sheet'!G10+'7.Balance Sheet'!G9-'7.Balance Sheet'!F9-'7.Balance Sheet'!F10</f>
        <v>984949.07717059134</v>
      </c>
      <c r="I31" s="210">
        <f>'7.Balance Sheet'!H10+'7.Balance Sheet'!H9-'7.Balance Sheet'!G9-'7.Balance Sheet'!G10</f>
        <v>1067981.6775149931</v>
      </c>
    </row>
    <row r="32" spans="1:9" x14ac:dyDescent="0.25">
      <c r="A32" s="209"/>
      <c r="B32" s="209" t="s">
        <v>232</v>
      </c>
      <c r="C32" s="220">
        <f>SUM(C16:C31)</f>
        <v>114521285.82678369</v>
      </c>
      <c r="D32" s="220">
        <f t="shared" ref="D32:I32" si="1">SUM(D16:D31)</f>
        <v>92468698.484649792</v>
      </c>
      <c r="E32" s="220">
        <f t="shared" si="1"/>
        <v>111857265.77361128</v>
      </c>
      <c r="F32" s="220">
        <f t="shared" si="1"/>
        <v>131717458.82821953</v>
      </c>
      <c r="G32" s="220">
        <f t="shared" si="1"/>
        <v>153260058.09169129</v>
      </c>
      <c r="H32" s="220">
        <f t="shared" si="1"/>
        <v>172894241.48800975</v>
      </c>
      <c r="I32" s="220">
        <f t="shared" si="1"/>
        <v>198795204.18852353</v>
      </c>
    </row>
    <row r="33" spans="1:10" x14ac:dyDescent="0.25">
      <c r="A33" s="209"/>
      <c r="B33" s="209" t="s">
        <v>233</v>
      </c>
      <c r="C33" s="220">
        <f t="shared" ref="C33:I33" si="2">C13-C32</f>
        <v>1855984.9184805006</v>
      </c>
      <c r="D33" s="220">
        <f t="shared" si="2"/>
        <v>3756310.5312985778</v>
      </c>
      <c r="E33" s="220">
        <f t="shared" si="2"/>
        <v>3567377.4627955109</v>
      </c>
      <c r="F33" s="220">
        <f t="shared" si="2"/>
        <v>5120575.4638431966</v>
      </c>
      <c r="G33" s="220">
        <f t="shared" si="2"/>
        <v>6844147.1041579545</v>
      </c>
      <c r="H33" s="220">
        <f t="shared" si="2"/>
        <v>12460658.966930479</v>
      </c>
      <c r="I33" s="220">
        <f t="shared" si="2"/>
        <v>13935202.889083207</v>
      </c>
    </row>
    <row r="34" spans="1:10" x14ac:dyDescent="0.25">
      <c r="A34" s="218"/>
      <c r="B34" s="213" t="s">
        <v>234</v>
      </c>
      <c r="C34" s="213"/>
      <c r="D34" s="221">
        <f t="shared" ref="D34:I34" si="3">C35</f>
        <v>1855984.9184805006</v>
      </c>
      <c r="E34" s="221">
        <f t="shared" si="3"/>
        <v>5612295.4497790784</v>
      </c>
      <c r="F34" s="221">
        <f t="shared" si="3"/>
        <v>9179672.9125745893</v>
      </c>
      <c r="G34" s="221">
        <f t="shared" si="3"/>
        <v>14300248.376417786</v>
      </c>
      <c r="H34" s="221">
        <f t="shared" si="3"/>
        <v>21144395.48057574</v>
      </c>
      <c r="I34" s="221">
        <f t="shared" si="3"/>
        <v>33605054.447506219</v>
      </c>
    </row>
    <row r="35" spans="1:10" x14ac:dyDescent="0.25">
      <c r="A35" s="209"/>
      <c r="B35" s="222" t="s">
        <v>235</v>
      </c>
      <c r="C35" s="220">
        <f t="shared" ref="C35:I35" si="4">C33+C34</f>
        <v>1855984.9184805006</v>
      </c>
      <c r="D35" s="220">
        <f t="shared" si="4"/>
        <v>5612295.4497790784</v>
      </c>
      <c r="E35" s="220">
        <f t="shared" si="4"/>
        <v>9179672.9125745893</v>
      </c>
      <c r="F35" s="220">
        <f t="shared" si="4"/>
        <v>14300248.376417786</v>
      </c>
      <c r="G35" s="220">
        <f t="shared" si="4"/>
        <v>21144395.48057574</v>
      </c>
      <c r="H35" s="220">
        <f t="shared" si="4"/>
        <v>33605054.447506219</v>
      </c>
      <c r="I35" s="220">
        <f t="shared" si="4"/>
        <v>47540257.336589426</v>
      </c>
    </row>
    <row r="37" spans="1:10" ht="39.950000000000003" customHeight="1" x14ac:dyDescent="0.25">
      <c r="A37" s="454" t="s">
        <v>386</v>
      </c>
      <c r="B37" s="454"/>
      <c r="C37" s="454"/>
      <c r="D37" s="454"/>
      <c r="E37" s="454"/>
      <c r="F37" s="454"/>
      <c r="G37" s="454"/>
      <c r="H37" s="454"/>
      <c r="I37" s="454"/>
      <c r="J37" s="454"/>
    </row>
    <row r="39" spans="1:10" x14ac:dyDescent="0.25">
      <c r="C39" s="122"/>
    </row>
    <row r="40" spans="1:10" x14ac:dyDescent="0.25">
      <c r="C40" s="122"/>
    </row>
    <row r="41" spans="1:10" x14ac:dyDescent="0.25">
      <c r="C41" s="122"/>
    </row>
    <row r="42" spans="1:10" x14ac:dyDescent="0.25">
      <c r="C42" s="122"/>
    </row>
    <row r="43" spans="1:10" x14ac:dyDescent="0.25">
      <c r="C43" s="122"/>
    </row>
  </sheetData>
  <mergeCells count="4">
    <mergeCell ref="A1:G1"/>
    <mergeCell ref="A14:B14"/>
    <mergeCell ref="A2:I2"/>
    <mergeCell ref="A37:J37"/>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17.Facility 6 Cattle Feed</vt:lpstr>
      <vt:lpstr>16.Facility 5 Atta Chakki</vt:lpstr>
      <vt:lpstr>14. Facility 3 Warehouse</vt:lpstr>
      <vt:lpstr>15. Facility 4 Custom Hiring</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Atta Chakki'!Print_Area</vt:lpstr>
      <vt:lpstr>'17.Facility 6 Cattle Feed'!Print_Area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2022-09-07T11:27:28Z</dcterms:modified>
</cp:coreProperties>
</file>